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LHERI\Desktop\"/>
    </mc:Choice>
  </mc:AlternateContent>
  <bookViews>
    <workbookView xWindow="0" yWindow="0" windowWidth="20490" windowHeight="7620" firstSheet="5" activeTab="9"/>
  </bookViews>
  <sheets>
    <sheet name="1. GEN SUMMARY" sheetId="5" r:id="rId1"/>
    <sheet name="2. RECIEPTS SUMM" sheetId="1" r:id="rId2"/>
    <sheet name="3. ACCOUNTS SUMM" sheetId="3" r:id="rId3"/>
    <sheet name="4. FIN. STATEMENT SUMM" sheetId="4" r:id="rId4"/>
    <sheet name="SUMMARY OF IGR" sheetId="14" r:id="rId5"/>
    <sheet name="BREAKDOWN OF IGR" sheetId="15" r:id="rId6"/>
    <sheet name="SUMMARY" sheetId="16" r:id="rId7"/>
    <sheet name="BREAKDOWN" sheetId="17" r:id="rId8"/>
    <sheet name="CAPITAL RECEIPTS" sheetId="24" r:id="rId9"/>
    <sheet name="CAPITAL ESTIMATES" sheetId="26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7" hidden="1">BREAKDOWN!$A$3:$N$2478</definedName>
    <definedName name="_xlnm._FilterDatabase" localSheetId="6" hidden="1">SUMMARY!$A$1:$I$283</definedName>
    <definedName name="capitalchart" localSheetId="9">[1]Chart_of_Accounts!$F$3:$G$401</definedName>
    <definedName name="capitalchart" localSheetId="8">[1]Chart_of_Accounts!$F$3:$G$401</definedName>
    <definedName name="capitalchart">[2]Chart_of_Accounts!$F$3:$G$401</definedName>
    <definedName name="capitaleconfunct" localSheetId="9">(INDIRECT("'Costing Sheet'!"&amp;ADDRESS(MATCH('CAPITAL ESTIMATES'!$T1,'[1]Costing Sheet'!$A$1:$A$7318,0)+3,4,4)))</definedName>
    <definedName name="capitaleconfunct" localSheetId="8">(INDIRECT("'Costing Sheet'!"&amp;ADDRESS(MATCH('[3]CAPITAL ESTIMATES'!$T1,'[1]Costing Sheet'!$A$1:$A$7318,0)+3,4,4)))</definedName>
    <definedName name="capitaleconfunct">(INDIRECT("'Costing Sheet'!"&amp;ADDRESS(MATCH(#REF!,'[2]Costing Sheet'!$A$1:$A$7318,0)+3,4,4)))</definedName>
    <definedName name="capitalprojectsclassification" localSheetId="9">'[1]SIP Activity Sheet'!$C$4:$J$288</definedName>
    <definedName name="capitalprojectsclassification" localSheetId="8">'[1]SIP Activity Sheet'!$C$4:$J$288</definedName>
    <definedName name="capitalprojectsclassification">'[2]SIP Activity Sheet'!$C$4:$J$288</definedName>
    <definedName name="coa" localSheetId="9">[4]Chart_of_Accounts!$B$2:$C$451</definedName>
    <definedName name="coa" localSheetId="8">[4]Chart_of_Accounts!$B$2:$C$451</definedName>
    <definedName name="coa">[5]Chart_of_Accounts!$B$2:$C$451</definedName>
    <definedName name="functionalcode" localSheetId="9">'[1]Budget Information Database'!$W$3:$X$94</definedName>
    <definedName name="functionalcode" localSheetId="8">'[1]Budget Information Database'!$W$3:$X$94</definedName>
    <definedName name="functionalcode">'[2]Budget Information Database'!$W$3:$X$94</definedName>
    <definedName name="fundsource" localSheetId="9">'[1]Budget Information Database'!$R$3:$S$84</definedName>
    <definedName name="fundsource" localSheetId="8">'[1]Budget Information Database'!$R$3:$S$84</definedName>
    <definedName name="fundsource">'[2]Budget Information Database'!$R$3:$S$84</definedName>
    <definedName name="Geocode" localSheetId="9">'[1]Budget Information Database'!$N$3:$O$27</definedName>
    <definedName name="Geocode" localSheetId="8">'[1]Budget Information Database'!$N$3:$O$27</definedName>
    <definedName name="Geocode">'[2]Budget Information Database'!$N$3:$O$27</definedName>
    <definedName name="_xlnm.Print_Area" localSheetId="7">BREAKDOWN!$A$1:$N$2491</definedName>
    <definedName name="_xlnm.Print_Titles" localSheetId="1">'2. RECIEPTS SUMM'!$4:$4</definedName>
    <definedName name="_xlnm.Print_Titles" localSheetId="2">'3. ACCOUNTS SUMM'!$4:$4</definedName>
    <definedName name="_xlnm.Print_Titles" localSheetId="7">BREAKDOWN!$1:$3</definedName>
    <definedName name="_xlnm.Print_Titles" localSheetId="5">'BREAKDOWN OF IGR'!$1:$3</definedName>
    <definedName name="_xlnm.Print_Titles" localSheetId="9">'CAPITAL ESTIMATES'!$3:$3</definedName>
    <definedName name="_xlnm.Print_Titles" localSheetId="6">SUMMARY!$1:$2</definedName>
    <definedName name="_xlnm.Print_Titles" localSheetId="4">'SUMMARY OF IGR'!$3:$3</definedName>
  </definedNames>
  <calcPr calcId="162913"/>
</workbook>
</file>

<file path=xl/calcChain.xml><?xml version="1.0" encoding="utf-8"?>
<calcChain xmlns="http://schemas.openxmlformats.org/spreadsheetml/2006/main">
  <c r="G561" i="15" l="1"/>
  <c r="W1655" i="26"/>
  <c r="W1656" i="26"/>
  <c r="F129" i="24"/>
  <c r="L119" i="17" l="1"/>
  <c r="G15" i="16" s="1"/>
  <c r="K119" i="17"/>
  <c r="F3" i="16"/>
  <c r="F6" i="16"/>
  <c r="F9" i="16"/>
  <c r="F12" i="16"/>
  <c r="F18" i="16"/>
  <c r="F24" i="16"/>
  <c r="F27" i="16"/>
  <c r="F30" i="16"/>
  <c r="F33" i="16"/>
  <c r="F36" i="16"/>
  <c r="F39" i="16"/>
  <c r="F44" i="16"/>
  <c r="F49" i="16"/>
  <c r="F52" i="16"/>
  <c r="F55" i="16"/>
  <c r="F58" i="16"/>
  <c r="F61" i="16"/>
  <c r="F67" i="16"/>
  <c r="F70" i="16"/>
  <c r="F73" i="16"/>
  <c r="F79" i="16"/>
  <c r="F82" i="16"/>
  <c r="F85" i="16"/>
  <c r="F88" i="16"/>
  <c r="F91" i="16"/>
  <c r="F94" i="16"/>
  <c r="F97" i="16"/>
  <c r="F100" i="16"/>
  <c r="F103" i="16"/>
  <c r="F106" i="16"/>
  <c r="F109" i="16"/>
  <c r="F114" i="16"/>
  <c r="F117" i="16"/>
  <c r="F120" i="16"/>
  <c r="F123" i="16"/>
  <c r="F126" i="16"/>
  <c r="F129" i="16"/>
  <c r="F132" i="16"/>
  <c r="F135" i="16"/>
  <c r="F138" i="16"/>
  <c r="F141" i="16"/>
  <c r="F144" i="16"/>
  <c r="F147" i="16"/>
  <c r="F150" i="16"/>
  <c r="F153" i="16"/>
  <c r="F156" i="16"/>
  <c r="F159" i="16"/>
  <c r="F162" i="16"/>
  <c r="F165" i="16"/>
  <c r="F168" i="16"/>
  <c r="F171" i="16"/>
  <c r="F174" i="16"/>
  <c r="F177" i="16"/>
  <c r="F180" i="16"/>
  <c r="F183" i="16"/>
  <c r="F186" i="16"/>
  <c r="F189" i="16"/>
  <c r="F192" i="16"/>
  <c r="F195" i="16"/>
  <c r="F198" i="16"/>
  <c r="F201" i="16"/>
  <c r="F204" i="16"/>
  <c r="F207" i="16"/>
  <c r="F210" i="16"/>
  <c r="F213" i="16"/>
  <c r="F216" i="16"/>
  <c r="F219" i="16"/>
  <c r="F222" i="16"/>
  <c r="F225" i="16"/>
  <c r="F228" i="16"/>
  <c r="F231" i="16"/>
  <c r="F234" i="16"/>
  <c r="F237" i="16"/>
  <c r="F240" i="16"/>
  <c r="F243" i="16"/>
  <c r="F246" i="16"/>
  <c r="F249" i="16"/>
  <c r="F254" i="16"/>
  <c r="F257" i="16"/>
  <c r="F260" i="16"/>
  <c r="F263" i="16"/>
  <c r="F266" i="16"/>
  <c r="F269" i="16"/>
  <c r="F272" i="16"/>
  <c r="F275" i="16"/>
  <c r="F278" i="16"/>
  <c r="E15" i="3"/>
  <c r="D30" i="5"/>
  <c r="W367" i="26"/>
  <c r="K18" i="17" l="1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2449" i="17"/>
  <c r="K2450" i="17"/>
  <c r="K2451" i="17"/>
  <c r="K2452" i="17"/>
  <c r="K2453" i="17"/>
  <c r="K2454" i="17"/>
  <c r="K2455" i="17"/>
  <c r="K2456" i="17"/>
  <c r="K2457" i="17"/>
  <c r="K2458" i="17"/>
  <c r="K2459" i="17"/>
  <c r="K2460" i="17"/>
  <c r="K2461" i="17"/>
  <c r="K2462" i="17"/>
  <c r="K2463" i="17"/>
  <c r="K2464" i="17"/>
  <c r="K2465" i="17"/>
  <c r="K2466" i="17"/>
  <c r="K2467" i="17"/>
  <c r="K2468" i="17"/>
  <c r="K2469" i="17"/>
  <c r="K2470" i="17"/>
  <c r="K2471" i="17"/>
  <c r="K2472" i="17"/>
  <c r="K2473" i="17"/>
  <c r="K2474" i="17"/>
  <c r="K2475" i="17"/>
  <c r="K2476" i="17"/>
  <c r="K2448" i="17"/>
  <c r="K2431" i="17"/>
  <c r="K2432" i="17"/>
  <c r="K2433" i="17"/>
  <c r="K2434" i="17"/>
  <c r="K2435" i="17"/>
  <c r="K2436" i="17"/>
  <c r="K2437" i="17"/>
  <c r="K2438" i="17"/>
  <c r="K2439" i="17"/>
  <c r="K2440" i="17"/>
  <c r="K2441" i="17"/>
  <c r="K2442" i="17"/>
  <c r="K2430" i="17"/>
  <c r="K2411" i="17"/>
  <c r="K2412" i="17"/>
  <c r="K2413" i="17"/>
  <c r="K2414" i="17"/>
  <c r="K2415" i="17"/>
  <c r="K2416" i="17"/>
  <c r="K2417" i="17"/>
  <c r="K2418" i="17"/>
  <c r="K2419" i="17"/>
  <c r="K2420" i="17"/>
  <c r="K2421" i="17"/>
  <c r="K2422" i="17"/>
  <c r="K2423" i="17"/>
  <c r="K2424" i="17"/>
  <c r="K2410" i="17"/>
  <c r="K2376" i="17"/>
  <c r="K2377" i="17"/>
  <c r="K2378" i="17"/>
  <c r="K2379" i="17"/>
  <c r="K2380" i="17"/>
  <c r="K2381" i="17"/>
  <c r="K2382" i="17"/>
  <c r="K2383" i="17"/>
  <c r="K2384" i="17"/>
  <c r="K2385" i="17"/>
  <c r="K2386" i="17"/>
  <c r="K2387" i="17"/>
  <c r="K2388" i="17"/>
  <c r="K2389" i="17"/>
  <c r="K2390" i="17"/>
  <c r="K2391" i="17"/>
  <c r="K2392" i="17"/>
  <c r="K2393" i="17"/>
  <c r="K2394" i="17"/>
  <c r="K2395" i="17"/>
  <c r="K2396" i="17"/>
  <c r="K2397" i="17"/>
  <c r="K2398" i="17"/>
  <c r="K2399" i="17"/>
  <c r="K2400" i="17"/>
  <c r="K2401" i="17"/>
  <c r="K2402" i="17"/>
  <c r="K2403" i="17"/>
  <c r="K2375" i="17"/>
  <c r="K2346" i="17"/>
  <c r="K2347" i="17"/>
  <c r="K2348" i="17"/>
  <c r="K2349" i="17"/>
  <c r="K2350" i="17"/>
  <c r="K2351" i="17"/>
  <c r="K2352" i="17"/>
  <c r="K2353" i="17"/>
  <c r="K2354" i="17"/>
  <c r="K2355" i="17"/>
  <c r="K2356" i="17"/>
  <c r="K2357" i="17"/>
  <c r="K2358" i="17"/>
  <c r="K2359" i="17"/>
  <c r="K2360" i="17"/>
  <c r="K2361" i="17"/>
  <c r="K2362" i="17"/>
  <c r="K2363" i="17"/>
  <c r="K2364" i="17"/>
  <c r="K2365" i="17"/>
  <c r="K2366" i="17"/>
  <c r="K2367" i="17"/>
  <c r="K2368" i="17"/>
  <c r="K2369" i="17"/>
  <c r="K2345" i="17"/>
  <c r="K2294" i="17"/>
  <c r="K2295" i="17"/>
  <c r="K2296" i="17"/>
  <c r="K2297" i="17"/>
  <c r="K2298" i="17"/>
  <c r="K2299" i="17"/>
  <c r="K2300" i="17"/>
  <c r="K2301" i="17"/>
  <c r="K2302" i="17"/>
  <c r="K2303" i="17"/>
  <c r="K2304" i="17"/>
  <c r="K2305" i="17"/>
  <c r="K2306" i="17"/>
  <c r="K2307" i="17"/>
  <c r="K2308" i="17"/>
  <c r="K2309" i="17"/>
  <c r="K2310" i="17"/>
  <c r="K2311" i="17"/>
  <c r="K2312" i="17"/>
  <c r="K2313" i="17"/>
  <c r="K2314" i="17"/>
  <c r="K2315" i="17"/>
  <c r="K2316" i="17"/>
  <c r="K2317" i="17"/>
  <c r="K2318" i="17"/>
  <c r="K2319" i="17"/>
  <c r="K2320" i="17"/>
  <c r="K2321" i="17"/>
  <c r="K2322" i="17"/>
  <c r="K2323" i="17"/>
  <c r="K2324" i="17"/>
  <c r="K2325" i="17"/>
  <c r="K2326" i="17"/>
  <c r="K2327" i="17"/>
  <c r="K2328" i="17"/>
  <c r="K2329" i="17"/>
  <c r="K2330" i="17"/>
  <c r="K2293" i="17"/>
  <c r="K2244" i="17"/>
  <c r="K2245" i="17"/>
  <c r="K2246" i="17"/>
  <c r="K2247" i="17"/>
  <c r="K2248" i="17"/>
  <c r="K2249" i="17"/>
  <c r="K2250" i="17"/>
  <c r="K2251" i="17"/>
  <c r="K2252" i="17"/>
  <c r="K2253" i="17"/>
  <c r="K2254" i="17"/>
  <c r="K2255" i="17"/>
  <c r="K2256" i="17"/>
  <c r="K2257" i="17"/>
  <c r="K2258" i="17"/>
  <c r="K2259" i="17"/>
  <c r="K2260" i="17"/>
  <c r="K2261" i="17"/>
  <c r="K2262" i="17"/>
  <c r="K2263" i="17"/>
  <c r="K2264" i="17"/>
  <c r="K2265" i="17"/>
  <c r="K2266" i="17"/>
  <c r="K2267" i="17"/>
  <c r="K2268" i="17"/>
  <c r="K2269" i="17"/>
  <c r="K2270" i="17"/>
  <c r="K2271" i="17"/>
  <c r="K2272" i="17"/>
  <c r="K2273" i="17"/>
  <c r="K2274" i="17"/>
  <c r="K2275" i="17"/>
  <c r="K2276" i="17"/>
  <c r="K2277" i="17"/>
  <c r="K2278" i="17"/>
  <c r="K2279" i="17"/>
  <c r="K2280" i="17"/>
  <c r="K2281" i="17"/>
  <c r="K2282" i="17"/>
  <c r="K2283" i="17"/>
  <c r="K2284" i="17"/>
  <c r="K2285" i="17"/>
  <c r="K2286" i="17"/>
  <c r="K2287" i="17"/>
  <c r="K2243" i="17"/>
  <c r="K2225" i="17"/>
  <c r="K2226" i="17"/>
  <c r="K2227" i="17"/>
  <c r="K2228" i="17"/>
  <c r="K2229" i="17"/>
  <c r="K2230" i="17"/>
  <c r="K2231" i="17"/>
  <c r="K2232" i="17"/>
  <c r="K2233" i="17"/>
  <c r="K2234" i="17"/>
  <c r="K2235" i="17"/>
  <c r="K2236" i="17"/>
  <c r="K2237" i="17"/>
  <c r="K2224" i="17"/>
  <c r="K2189" i="17"/>
  <c r="K2190" i="17"/>
  <c r="K2191" i="17"/>
  <c r="K2192" i="17"/>
  <c r="K2193" i="17"/>
  <c r="K2194" i="17"/>
  <c r="K2195" i="17"/>
  <c r="K2196" i="17"/>
  <c r="K2197" i="17"/>
  <c r="K2198" i="17"/>
  <c r="K2199" i="17"/>
  <c r="K2200" i="17"/>
  <c r="K2201" i="17"/>
  <c r="K2202" i="17"/>
  <c r="K2203" i="17"/>
  <c r="K2204" i="17"/>
  <c r="K2205" i="17"/>
  <c r="K2206" i="17"/>
  <c r="K2207" i="17"/>
  <c r="K2208" i="17"/>
  <c r="K2188" i="17"/>
  <c r="K2167" i="17"/>
  <c r="K2168" i="17"/>
  <c r="K2169" i="17"/>
  <c r="K2170" i="17"/>
  <c r="K2171" i="17"/>
  <c r="K2172" i="17"/>
  <c r="K2173" i="17"/>
  <c r="K2174" i="17"/>
  <c r="K2175" i="17"/>
  <c r="K2176" i="17"/>
  <c r="K2177" i="17"/>
  <c r="K2178" i="17"/>
  <c r="K2179" i="17"/>
  <c r="K2180" i="17"/>
  <c r="K2181" i="17"/>
  <c r="K2182" i="17"/>
  <c r="K2166" i="17"/>
  <c r="K2151" i="17"/>
  <c r="K2152" i="17"/>
  <c r="K2153" i="17"/>
  <c r="K2154" i="17"/>
  <c r="K2155" i="17"/>
  <c r="K2156" i="17"/>
  <c r="K2157" i="17"/>
  <c r="K2158" i="17"/>
  <c r="K2159" i="17"/>
  <c r="K2160" i="17"/>
  <c r="K2161" i="17"/>
  <c r="K2162" i="17"/>
  <c r="K2150" i="17"/>
  <c r="K2128" i="17"/>
  <c r="K2129" i="17"/>
  <c r="K2130" i="17"/>
  <c r="K2131" i="17"/>
  <c r="K2132" i="17"/>
  <c r="K2133" i="17"/>
  <c r="K2134" i="17"/>
  <c r="K2135" i="17"/>
  <c r="K2136" i="17"/>
  <c r="K2137" i="17"/>
  <c r="K2138" i="17"/>
  <c r="K2139" i="17"/>
  <c r="K2140" i="17"/>
  <c r="K2141" i="17"/>
  <c r="K2142" i="17"/>
  <c r="K2143" i="17"/>
  <c r="K2144" i="17"/>
  <c r="K2127" i="17"/>
  <c r="K2098" i="17"/>
  <c r="K2099" i="17"/>
  <c r="K2100" i="17"/>
  <c r="K2101" i="17"/>
  <c r="K2102" i="17"/>
  <c r="K2103" i="17"/>
  <c r="K2104" i="17"/>
  <c r="K2105" i="17"/>
  <c r="K2106" i="17"/>
  <c r="K2107" i="17"/>
  <c r="K2108" i="17"/>
  <c r="K2109" i="17"/>
  <c r="K2110" i="17"/>
  <c r="K2111" i="17"/>
  <c r="K2112" i="17"/>
  <c r="K2113" i="17"/>
  <c r="K2097" i="17"/>
  <c r="K2064" i="17"/>
  <c r="K2065" i="17"/>
  <c r="K2066" i="17"/>
  <c r="K2067" i="17"/>
  <c r="K2068" i="17"/>
  <c r="K2069" i="17"/>
  <c r="K2070" i="17"/>
  <c r="K2071" i="17"/>
  <c r="K2072" i="17"/>
  <c r="K2073" i="17"/>
  <c r="K2074" i="17"/>
  <c r="K2075" i="17"/>
  <c r="K2076" i="17"/>
  <c r="K2077" i="17"/>
  <c r="K2078" i="17"/>
  <c r="K2079" i="17"/>
  <c r="K2080" i="17"/>
  <c r="K2063" i="17"/>
  <c r="K2046" i="17"/>
  <c r="K2047" i="17"/>
  <c r="K2048" i="17"/>
  <c r="K2049" i="17"/>
  <c r="K2050" i="17"/>
  <c r="K2051" i="17"/>
  <c r="K2052" i="17"/>
  <c r="K2053" i="17"/>
  <c r="K2054" i="17"/>
  <c r="K2055" i="17"/>
  <c r="K2056" i="17"/>
  <c r="K2057" i="17"/>
  <c r="K2045" i="17"/>
  <c r="K2015" i="17"/>
  <c r="K2016" i="17"/>
  <c r="K2017" i="17"/>
  <c r="K2018" i="17"/>
  <c r="K2019" i="17"/>
  <c r="K2020" i="17"/>
  <c r="K2021" i="17"/>
  <c r="K2022" i="17"/>
  <c r="K2023" i="17"/>
  <c r="K2024" i="17"/>
  <c r="K2025" i="17"/>
  <c r="K2026" i="17"/>
  <c r="K2027" i="17"/>
  <c r="K2028" i="17"/>
  <c r="K2029" i="17"/>
  <c r="K2030" i="17"/>
  <c r="K2014" i="17"/>
  <c r="K1984" i="17"/>
  <c r="K1985" i="17"/>
  <c r="K1986" i="17"/>
  <c r="K1987" i="17"/>
  <c r="K1988" i="17"/>
  <c r="K1989" i="17"/>
  <c r="K1990" i="17"/>
  <c r="K1991" i="17"/>
  <c r="K1992" i="17"/>
  <c r="K1993" i="17"/>
  <c r="K1994" i="17"/>
  <c r="K1995" i="17"/>
  <c r="K1996" i="17"/>
  <c r="K1997" i="17"/>
  <c r="K1983" i="17"/>
  <c r="K1965" i="17"/>
  <c r="K1966" i="17"/>
  <c r="K1967" i="17"/>
  <c r="K1968" i="17"/>
  <c r="K1969" i="17"/>
  <c r="K1970" i="17"/>
  <c r="K1971" i="17"/>
  <c r="K1972" i="17"/>
  <c r="K1973" i="17"/>
  <c r="K1974" i="17"/>
  <c r="K1975" i="17"/>
  <c r="K1976" i="17"/>
  <c r="K1977" i="17"/>
  <c r="K1964" i="17"/>
  <c r="K1946" i="17"/>
  <c r="K1947" i="17"/>
  <c r="K1948" i="17"/>
  <c r="K1949" i="17"/>
  <c r="K1950" i="17"/>
  <c r="K1951" i="17"/>
  <c r="K1952" i="17"/>
  <c r="K1953" i="17"/>
  <c r="K1954" i="17"/>
  <c r="K1955" i="17"/>
  <c r="K1956" i="17"/>
  <c r="K1957" i="17"/>
  <c r="K1958" i="17"/>
  <c r="K1945" i="17"/>
  <c r="K1923" i="17"/>
  <c r="K1924" i="17"/>
  <c r="K1925" i="17"/>
  <c r="K1926" i="17"/>
  <c r="K1927" i="17"/>
  <c r="K1928" i="17"/>
  <c r="K1929" i="17"/>
  <c r="K1930" i="17"/>
  <c r="K1931" i="17"/>
  <c r="K1932" i="17"/>
  <c r="K1933" i="17"/>
  <c r="K1934" i="17"/>
  <c r="K1935" i="17"/>
  <c r="K1936" i="17"/>
  <c r="K1937" i="17"/>
  <c r="K1938" i="17"/>
  <c r="K1939" i="17"/>
  <c r="K1922" i="17"/>
  <c r="K1904" i="17"/>
  <c r="K1905" i="17"/>
  <c r="K1906" i="17"/>
  <c r="K1907" i="17"/>
  <c r="K1908" i="17"/>
  <c r="K1909" i="17"/>
  <c r="K1910" i="17"/>
  <c r="K1911" i="17"/>
  <c r="K1912" i="17"/>
  <c r="K1913" i="17"/>
  <c r="K1914" i="17"/>
  <c r="K1915" i="17"/>
  <c r="K1916" i="17"/>
  <c r="K1903" i="17"/>
  <c r="K1880" i="17"/>
  <c r="K1881" i="17"/>
  <c r="K1882" i="17"/>
  <c r="K1883" i="17"/>
  <c r="K1884" i="17"/>
  <c r="K1885" i="17"/>
  <c r="K1886" i="17"/>
  <c r="K1887" i="17"/>
  <c r="K1888" i="17"/>
  <c r="K1889" i="17"/>
  <c r="K1890" i="17"/>
  <c r="K1891" i="17"/>
  <c r="K1892" i="17"/>
  <c r="K1893" i="17"/>
  <c r="K1894" i="17"/>
  <c r="K1895" i="17"/>
  <c r="K1896" i="17"/>
  <c r="K1897" i="17"/>
  <c r="K1879" i="17"/>
  <c r="K1862" i="17"/>
  <c r="K1863" i="17"/>
  <c r="K1864" i="17"/>
  <c r="K1865" i="17"/>
  <c r="K1866" i="17"/>
  <c r="K1867" i="17"/>
  <c r="K1868" i="17"/>
  <c r="K1869" i="17"/>
  <c r="K1870" i="17"/>
  <c r="K1871" i="17"/>
  <c r="K1872" i="17"/>
  <c r="K1873" i="17"/>
  <c r="K1861" i="17"/>
  <c r="K1835" i="17"/>
  <c r="K1836" i="17"/>
  <c r="K1837" i="17"/>
  <c r="K1838" i="17"/>
  <c r="K1839" i="17"/>
  <c r="K1840" i="17"/>
  <c r="K1841" i="17"/>
  <c r="K1842" i="17"/>
  <c r="K1843" i="17"/>
  <c r="K1844" i="17"/>
  <c r="K1845" i="17"/>
  <c r="K1846" i="17"/>
  <c r="K1834" i="17"/>
  <c r="K1808" i="17"/>
  <c r="K1809" i="17"/>
  <c r="K1810" i="17"/>
  <c r="K1811" i="17"/>
  <c r="K1812" i="17"/>
  <c r="K1813" i="17"/>
  <c r="K1814" i="17"/>
  <c r="K1815" i="17"/>
  <c r="K1816" i="17"/>
  <c r="K1817" i="17"/>
  <c r="K1818" i="17"/>
  <c r="K1819" i="17"/>
  <c r="K1820" i="17"/>
  <c r="K1821" i="17"/>
  <c r="K1822" i="17"/>
  <c r="K1823" i="17"/>
  <c r="K1824" i="17"/>
  <c r="K1825" i="17"/>
  <c r="K1826" i="17"/>
  <c r="K1827" i="17"/>
  <c r="K1828" i="17"/>
  <c r="K1807" i="17"/>
  <c r="K1788" i="17"/>
  <c r="K1789" i="17"/>
  <c r="K1790" i="17"/>
  <c r="K1791" i="17"/>
  <c r="K1792" i="17"/>
  <c r="K1793" i="17"/>
  <c r="K1794" i="17"/>
  <c r="K1795" i="17"/>
  <c r="K1796" i="17"/>
  <c r="K1797" i="17"/>
  <c r="K1798" i="17"/>
  <c r="K1799" i="17"/>
  <c r="K1800" i="17"/>
  <c r="K1801" i="17"/>
  <c r="K1787" i="17"/>
  <c r="K1758" i="17"/>
  <c r="K1759" i="17"/>
  <c r="K1760" i="17"/>
  <c r="K1761" i="17"/>
  <c r="K1762" i="17"/>
  <c r="K1763" i="17"/>
  <c r="K1764" i="17"/>
  <c r="K1765" i="17"/>
  <c r="K1766" i="17"/>
  <c r="K1767" i="17"/>
  <c r="K1768" i="17"/>
  <c r="K1769" i="17"/>
  <c r="K1770" i="17"/>
  <c r="K1771" i="17"/>
  <c r="K1772" i="17"/>
  <c r="K1773" i="17"/>
  <c r="K1774" i="17"/>
  <c r="K1775" i="17"/>
  <c r="K1776" i="17"/>
  <c r="K1777" i="17"/>
  <c r="K1778" i="17"/>
  <c r="K1779" i="17"/>
  <c r="K1780" i="17"/>
  <c r="K1781" i="17"/>
  <c r="K1757" i="17"/>
  <c r="K1782" i="17" s="1"/>
  <c r="F202" i="16" s="1"/>
  <c r="F203" i="16" s="1"/>
  <c r="K1739" i="17"/>
  <c r="K1740" i="17"/>
  <c r="K1741" i="17"/>
  <c r="K1742" i="17"/>
  <c r="K1743" i="17"/>
  <c r="K1744" i="17"/>
  <c r="K1745" i="17"/>
  <c r="K1746" i="17"/>
  <c r="K1747" i="17"/>
  <c r="K1748" i="17"/>
  <c r="K1749" i="17"/>
  <c r="K1750" i="17"/>
  <c r="K1751" i="17"/>
  <c r="K1738" i="17"/>
  <c r="K1714" i="17"/>
  <c r="K1715" i="17"/>
  <c r="K1716" i="17"/>
  <c r="K1717" i="17"/>
  <c r="K1718" i="17"/>
  <c r="K1719" i="17"/>
  <c r="K1720" i="17"/>
  <c r="K1721" i="17"/>
  <c r="K1722" i="17"/>
  <c r="K1723" i="17"/>
  <c r="K1724" i="17"/>
  <c r="K1725" i="17"/>
  <c r="K1726" i="17"/>
  <c r="K1727" i="17"/>
  <c r="K1728" i="17"/>
  <c r="K1729" i="17"/>
  <c r="K1730" i="17"/>
  <c r="K1731" i="17"/>
  <c r="K1732" i="17"/>
  <c r="K1713" i="17"/>
  <c r="K1671" i="17"/>
  <c r="K1672" i="17"/>
  <c r="K1673" i="17"/>
  <c r="K1674" i="17"/>
  <c r="K1675" i="17"/>
  <c r="K1676" i="17"/>
  <c r="K1677" i="17"/>
  <c r="K1678" i="17"/>
  <c r="K1679" i="17"/>
  <c r="K1680" i="17"/>
  <c r="K1681" i="17"/>
  <c r="K1682" i="17"/>
  <c r="K1683" i="17"/>
  <c r="K1684" i="17"/>
  <c r="K1685" i="17"/>
  <c r="K1686" i="17"/>
  <c r="K1687" i="17"/>
  <c r="K1688" i="17"/>
  <c r="K1689" i="17"/>
  <c r="K1690" i="17"/>
  <c r="K1691" i="17"/>
  <c r="K1692" i="17"/>
  <c r="K1693" i="17"/>
  <c r="K1694" i="17"/>
  <c r="K1695" i="17"/>
  <c r="K1696" i="17"/>
  <c r="K1670" i="17"/>
  <c r="K1618" i="17"/>
  <c r="K1619" i="17"/>
  <c r="K1620" i="17"/>
  <c r="K1621" i="17"/>
  <c r="K1622" i="17"/>
  <c r="K1623" i="17"/>
  <c r="K1624" i="17"/>
  <c r="K1625" i="17"/>
  <c r="K1626" i="17"/>
  <c r="K1627" i="17"/>
  <c r="K1628" i="17"/>
  <c r="K1629" i="17"/>
  <c r="K1630" i="17"/>
  <c r="K1631" i="17"/>
  <c r="K1632" i="17"/>
  <c r="K1633" i="17"/>
  <c r="K1634" i="17"/>
  <c r="K1635" i="17"/>
  <c r="K1636" i="17"/>
  <c r="K1637" i="17"/>
  <c r="K1638" i="17"/>
  <c r="K1639" i="17"/>
  <c r="K1640" i="17"/>
  <c r="K1641" i="17"/>
  <c r="K1642" i="17"/>
  <c r="K1643" i="17"/>
  <c r="K1644" i="17"/>
  <c r="K1645" i="17"/>
  <c r="K1646" i="17"/>
  <c r="K1647" i="17"/>
  <c r="K1648" i="17"/>
  <c r="K1649" i="17"/>
  <c r="K1650" i="17"/>
  <c r="K1651" i="17"/>
  <c r="K1652" i="17"/>
  <c r="K1653" i="17"/>
  <c r="K1654" i="17"/>
  <c r="K1655" i="17"/>
  <c r="K1656" i="17"/>
  <c r="K1657" i="17"/>
  <c r="K1658" i="17"/>
  <c r="K1659" i="17"/>
  <c r="K1660" i="17"/>
  <c r="K1661" i="17"/>
  <c r="K1662" i="17"/>
  <c r="K1663" i="17"/>
  <c r="K1664" i="17"/>
  <c r="K1617" i="17"/>
  <c r="K1551" i="17"/>
  <c r="K1552" i="17"/>
  <c r="K1553" i="17"/>
  <c r="K1554" i="17"/>
  <c r="K1555" i="17"/>
  <c r="K1556" i="17"/>
  <c r="K1557" i="17"/>
  <c r="K1558" i="17"/>
  <c r="K1559" i="17"/>
  <c r="K1560" i="17"/>
  <c r="K1561" i="17"/>
  <c r="K1562" i="17"/>
  <c r="K1563" i="17"/>
  <c r="K1564" i="17"/>
  <c r="K1565" i="17"/>
  <c r="K1566" i="17"/>
  <c r="K1567" i="17"/>
  <c r="K1568" i="17"/>
  <c r="K1569" i="17"/>
  <c r="K1570" i="17"/>
  <c r="K1571" i="17"/>
  <c r="K1572" i="17"/>
  <c r="K1573" i="17"/>
  <c r="K1574" i="17"/>
  <c r="K1575" i="17"/>
  <c r="K1576" i="17"/>
  <c r="K1577" i="17"/>
  <c r="K1578" i="17"/>
  <c r="K1579" i="17"/>
  <c r="K1580" i="17"/>
  <c r="K1581" i="17"/>
  <c r="K1582" i="17"/>
  <c r="K1583" i="17"/>
  <c r="K1584" i="17"/>
  <c r="K1585" i="17"/>
  <c r="K1586" i="17"/>
  <c r="K1587" i="17"/>
  <c r="K1588" i="17"/>
  <c r="K1589" i="17"/>
  <c r="K1590" i="17"/>
  <c r="K1591" i="17"/>
  <c r="K1592" i="17"/>
  <c r="K1593" i="17"/>
  <c r="K1594" i="17"/>
  <c r="K1595" i="17"/>
  <c r="K1596" i="17"/>
  <c r="K1597" i="17"/>
  <c r="K1598" i="17"/>
  <c r="K1599" i="17"/>
  <c r="K1600" i="17"/>
  <c r="K1601" i="17"/>
  <c r="K1602" i="17"/>
  <c r="K1603" i="17"/>
  <c r="K1604" i="17"/>
  <c r="K1605" i="17"/>
  <c r="K1606" i="17"/>
  <c r="K1607" i="17"/>
  <c r="K1608" i="17"/>
  <c r="K1609" i="17"/>
  <c r="K1610" i="17"/>
  <c r="K1611" i="17"/>
  <c r="K1550" i="17"/>
  <c r="K1505" i="17"/>
  <c r="K1506" i="17"/>
  <c r="K1507" i="17"/>
  <c r="K1508" i="17"/>
  <c r="K1509" i="17"/>
  <c r="K1510" i="17"/>
  <c r="K1511" i="17"/>
  <c r="K1512" i="17"/>
  <c r="K1513" i="17"/>
  <c r="K1514" i="17"/>
  <c r="K1515" i="17"/>
  <c r="K1516" i="17"/>
  <c r="K1517" i="17"/>
  <c r="K1518" i="17"/>
  <c r="K1519" i="17"/>
  <c r="K1520" i="17"/>
  <c r="K1521" i="17"/>
  <c r="K1522" i="17"/>
  <c r="K1523" i="17"/>
  <c r="K1524" i="17"/>
  <c r="K1525" i="17"/>
  <c r="K1526" i="17"/>
  <c r="K1527" i="17"/>
  <c r="K1528" i="17"/>
  <c r="K1529" i="17"/>
  <c r="K1530" i="17"/>
  <c r="K1531" i="17"/>
  <c r="K1532" i="17"/>
  <c r="K1533" i="17"/>
  <c r="K1534" i="17"/>
  <c r="K1535" i="17"/>
  <c r="K1536" i="17"/>
  <c r="K1537" i="17"/>
  <c r="K1538" i="17"/>
  <c r="K1539" i="17"/>
  <c r="K1540" i="17"/>
  <c r="K1541" i="17"/>
  <c r="K1542" i="17"/>
  <c r="K1543" i="17"/>
  <c r="K1544" i="17"/>
  <c r="K1504" i="17"/>
  <c r="K1484" i="17"/>
  <c r="K1485" i="17"/>
  <c r="K1486" i="17"/>
  <c r="K1487" i="17"/>
  <c r="K1488" i="17"/>
  <c r="K1489" i="17"/>
  <c r="K1490" i="17"/>
  <c r="K1491" i="17"/>
  <c r="K1492" i="17"/>
  <c r="K1493" i="17"/>
  <c r="K1494" i="17"/>
  <c r="K1495" i="17"/>
  <c r="K1496" i="17"/>
  <c r="K1497" i="17"/>
  <c r="K1498" i="17"/>
  <c r="K1483" i="17"/>
  <c r="K1463" i="17"/>
  <c r="K1464" i="17"/>
  <c r="K1465" i="17"/>
  <c r="K1466" i="17"/>
  <c r="K1467" i="17"/>
  <c r="K1468" i="17"/>
  <c r="K1469" i="17"/>
  <c r="K1470" i="17"/>
  <c r="K1471" i="17"/>
  <c r="K1472" i="17"/>
  <c r="K1473" i="17"/>
  <c r="K1474" i="17"/>
  <c r="K1475" i="17"/>
  <c r="K1476" i="17"/>
  <c r="K1477" i="17"/>
  <c r="K1462" i="17"/>
  <c r="K1441" i="17"/>
  <c r="K1442" i="17"/>
  <c r="K1443" i="17"/>
  <c r="K1444" i="17"/>
  <c r="K1445" i="17"/>
  <c r="K1446" i="17"/>
  <c r="K1447" i="17"/>
  <c r="K1448" i="17"/>
  <c r="K1449" i="17"/>
  <c r="K1450" i="17"/>
  <c r="K1451" i="17"/>
  <c r="K1452" i="17"/>
  <c r="K1453" i="17"/>
  <c r="K1454" i="17"/>
  <c r="K1455" i="17"/>
  <c r="K1456" i="17"/>
  <c r="K1440" i="17"/>
  <c r="K1399" i="17"/>
  <c r="K1400" i="17"/>
  <c r="K1401" i="17"/>
  <c r="K1402" i="17"/>
  <c r="K1403" i="17"/>
  <c r="K1404" i="17"/>
  <c r="K1405" i="17"/>
  <c r="K1406" i="17"/>
  <c r="K1407" i="17"/>
  <c r="K1408" i="17"/>
  <c r="K1409" i="17"/>
  <c r="K1410" i="17"/>
  <c r="K1411" i="17"/>
  <c r="K1412" i="17"/>
  <c r="K1413" i="17"/>
  <c r="K1414" i="17"/>
  <c r="K1415" i="17"/>
  <c r="K1416" i="17"/>
  <c r="K1417" i="17"/>
  <c r="K1418" i="17"/>
  <c r="K1419" i="17"/>
  <c r="K1420" i="17"/>
  <c r="K1421" i="17"/>
  <c r="K1422" i="17"/>
  <c r="K1423" i="17"/>
  <c r="K1424" i="17"/>
  <c r="K1425" i="17"/>
  <c r="K1398" i="17"/>
  <c r="K1364" i="17"/>
  <c r="K1365" i="17"/>
  <c r="K1366" i="17"/>
  <c r="K1367" i="17"/>
  <c r="K1368" i="17"/>
  <c r="K1369" i="17"/>
  <c r="K1370" i="17"/>
  <c r="K1371" i="17"/>
  <c r="K1372" i="17"/>
  <c r="K1373" i="17"/>
  <c r="K1374" i="17"/>
  <c r="K1375" i="17"/>
  <c r="K1376" i="17"/>
  <c r="K1377" i="17"/>
  <c r="K1378" i="17"/>
  <c r="K1379" i="17"/>
  <c r="K1380" i="17"/>
  <c r="K1363" i="17"/>
  <c r="K1341" i="17"/>
  <c r="K1342" i="17"/>
  <c r="K1343" i="17"/>
  <c r="K1344" i="17"/>
  <c r="K1345" i="17"/>
  <c r="K1346" i="17"/>
  <c r="K1347" i="17"/>
  <c r="K1348" i="17"/>
  <c r="K1340" i="17"/>
  <c r="K1323" i="17"/>
  <c r="K1324" i="17"/>
  <c r="K1325" i="17"/>
  <c r="K1326" i="17"/>
  <c r="K1327" i="17"/>
  <c r="K1328" i="17"/>
  <c r="K1329" i="17"/>
  <c r="K1330" i="17"/>
  <c r="K1331" i="17"/>
  <c r="K1332" i="17"/>
  <c r="K1333" i="17"/>
  <c r="K1334" i="17"/>
  <c r="K1322" i="17"/>
  <c r="K1296" i="17"/>
  <c r="K1297" i="17"/>
  <c r="K1298" i="17"/>
  <c r="K1299" i="17"/>
  <c r="K1300" i="17"/>
  <c r="K1301" i="17"/>
  <c r="K1302" i="17"/>
  <c r="K1303" i="17"/>
  <c r="K1304" i="17"/>
  <c r="K1305" i="17"/>
  <c r="K1306" i="17"/>
  <c r="K1307" i="17"/>
  <c r="K1308" i="17"/>
  <c r="K1309" i="17"/>
  <c r="K1310" i="17"/>
  <c r="K1311" i="17"/>
  <c r="K1312" i="17"/>
  <c r="K1313" i="17"/>
  <c r="K1314" i="17"/>
  <c r="K1315" i="17"/>
  <c r="K1316" i="17"/>
  <c r="K1295" i="17"/>
  <c r="K1261" i="17"/>
  <c r="K1262" i="17"/>
  <c r="K1263" i="17"/>
  <c r="K1264" i="17"/>
  <c r="K1265" i="17"/>
  <c r="K1266" i="17"/>
  <c r="K1267" i="17"/>
  <c r="K1268" i="17"/>
  <c r="K1269" i="17"/>
  <c r="K1270" i="17"/>
  <c r="K1271" i="17"/>
  <c r="K1272" i="17"/>
  <c r="K1273" i="17"/>
  <c r="K1274" i="17"/>
  <c r="K1275" i="17"/>
  <c r="K1276" i="17"/>
  <c r="K1277" i="17"/>
  <c r="K1278" i="17"/>
  <c r="K1279" i="17"/>
  <c r="K1260" i="17"/>
  <c r="K1229" i="17"/>
  <c r="K1230" i="17"/>
  <c r="K1231" i="17"/>
  <c r="K1232" i="17"/>
  <c r="K1233" i="17"/>
  <c r="K1234" i="17"/>
  <c r="K1235" i="17"/>
  <c r="K1236" i="17"/>
  <c r="K1237" i="17"/>
  <c r="K1238" i="17"/>
  <c r="K1239" i="17"/>
  <c r="K1240" i="17"/>
  <c r="K1241" i="17"/>
  <c r="K1242" i="17"/>
  <c r="K1243" i="17"/>
  <c r="K1244" i="17"/>
  <c r="K1245" i="17"/>
  <c r="K1246" i="17"/>
  <c r="K1247" i="17"/>
  <c r="K1248" i="17"/>
  <c r="K1249" i="17"/>
  <c r="K1250" i="17"/>
  <c r="K1251" i="17"/>
  <c r="K1252" i="17"/>
  <c r="K1253" i="17"/>
  <c r="K1254" i="17"/>
  <c r="K1228" i="17"/>
  <c r="K1211" i="17"/>
  <c r="K1212" i="17"/>
  <c r="K1213" i="17"/>
  <c r="K1214" i="17"/>
  <c r="K1215" i="17"/>
  <c r="K1216" i="17"/>
  <c r="K1217" i="17"/>
  <c r="K1218" i="17"/>
  <c r="K1219" i="17"/>
  <c r="K1220" i="17"/>
  <c r="K1221" i="17"/>
  <c r="K1222" i="17"/>
  <c r="K1210" i="17"/>
  <c r="K1191" i="17"/>
  <c r="K1192" i="17"/>
  <c r="K1193" i="17"/>
  <c r="K1194" i="17"/>
  <c r="K1195" i="17"/>
  <c r="K1196" i="17"/>
  <c r="K1197" i="17"/>
  <c r="K1198" i="17"/>
  <c r="K1199" i="17"/>
  <c r="K1200" i="17"/>
  <c r="K1201" i="17"/>
  <c r="K1202" i="17"/>
  <c r="K1203" i="17"/>
  <c r="K1204" i="17"/>
  <c r="K1190" i="17"/>
  <c r="K1176" i="17"/>
  <c r="K1177" i="17"/>
  <c r="K1178" i="17"/>
  <c r="K1179" i="17"/>
  <c r="K1180" i="17"/>
  <c r="K1181" i="17"/>
  <c r="K1182" i="17"/>
  <c r="K1183" i="17"/>
  <c r="K1184" i="17"/>
  <c r="K1175" i="17"/>
  <c r="K1155" i="17"/>
  <c r="K1156" i="17"/>
  <c r="K1157" i="17"/>
  <c r="K1158" i="17"/>
  <c r="K1159" i="17"/>
  <c r="K1160" i="17"/>
  <c r="K1161" i="17"/>
  <c r="K1162" i="17"/>
  <c r="K1154" i="17"/>
  <c r="K1136" i="17"/>
  <c r="K1137" i="17"/>
  <c r="K1138" i="17"/>
  <c r="K1139" i="17"/>
  <c r="K1140" i="17"/>
  <c r="K1141" i="17"/>
  <c r="K1142" i="17"/>
  <c r="K1143" i="17"/>
  <c r="K1144" i="17"/>
  <c r="K1145" i="17"/>
  <c r="K1146" i="17"/>
  <c r="K1147" i="17"/>
  <c r="K1148" i="17"/>
  <c r="K1135" i="17"/>
  <c r="K1115" i="17"/>
  <c r="K1116" i="17"/>
  <c r="K1117" i="17"/>
  <c r="K1118" i="17"/>
  <c r="K1119" i="17"/>
  <c r="K1120" i="17"/>
  <c r="K1121" i="17"/>
  <c r="K1122" i="17"/>
  <c r="K1123" i="17"/>
  <c r="K1124" i="17"/>
  <c r="K1125" i="17"/>
  <c r="K1126" i="17"/>
  <c r="K1127" i="17"/>
  <c r="K1128" i="17"/>
  <c r="K1129" i="17"/>
  <c r="K1114" i="17"/>
  <c r="K1098" i="17"/>
  <c r="K1099" i="17"/>
  <c r="K1100" i="17"/>
  <c r="K1101" i="17"/>
  <c r="K1102" i="17"/>
  <c r="K1103" i="17"/>
  <c r="K1104" i="17"/>
  <c r="K1105" i="17"/>
  <c r="K1106" i="17"/>
  <c r="K1107" i="17"/>
  <c r="K1108" i="17"/>
  <c r="K1097" i="17"/>
  <c r="K1081" i="17"/>
  <c r="K1082" i="17"/>
  <c r="K1083" i="17"/>
  <c r="K1084" i="17"/>
  <c r="K1085" i="17"/>
  <c r="K1086" i="17"/>
  <c r="K1087" i="17"/>
  <c r="K1088" i="17"/>
  <c r="K1089" i="17"/>
  <c r="K1090" i="17"/>
  <c r="K1091" i="17"/>
  <c r="K1080" i="17"/>
  <c r="K1061" i="17"/>
  <c r="K1062" i="17"/>
  <c r="K1063" i="17"/>
  <c r="K1064" i="17"/>
  <c r="K1065" i="17"/>
  <c r="K1066" i="17"/>
  <c r="K1067" i="17"/>
  <c r="K1068" i="17"/>
  <c r="K1069" i="17"/>
  <c r="K1070" i="17"/>
  <c r="K1071" i="17"/>
  <c r="K1072" i="17"/>
  <c r="K1073" i="17"/>
  <c r="K1074" i="17"/>
  <c r="K1060" i="17"/>
  <c r="K1037" i="17"/>
  <c r="K1038" i="17"/>
  <c r="K1039" i="17"/>
  <c r="K1040" i="17"/>
  <c r="K1041" i="17"/>
  <c r="K1042" i="17"/>
  <c r="K1043" i="17"/>
  <c r="K1044" i="17"/>
  <c r="K1045" i="17"/>
  <c r="K1046" i="17"/>
  <c r="K1047" i="17"/>
  <c r="K1036" i="17"/>
  <c r="K1018" i="17"/>
  <c r="K1019" i="17"/>
  <c r="K1020" i="17"/>
  <c r="K1021" i="17"/>
  <c r="K1022" i="17"/>
  <c r="K1023" i="17"/>
  <c r="K1024" i="17"/>
  <c r="K1025" i="17"/>
  <c r="K1026" i="17"/>
  <c r="K1027" i="17"/>
  <c r="K1028" i="17"/>
  <c r="K1029" i="17"/>
  <c r="K1030" i="17"/>
  <c r="K1017" i="17"/>
  <c r="K982" i="17"/>
  <c r="K983" i="17"/>
  <c r="K984" i="17"/>
  <c r="K985" i="17"/>
  <c r="K986" i="17"/>
  <c r="K987" i="17"/>
  <c r="K988" i="17"/>
  <c r="K989" i="17"/>
  <c r="K990" i="17"/>
  <c r="K991" i="17"/>
  <c r="K992" i="17"/>
  <c r="K993" i="17"/>
  <c r="K994" i="17"/>
  <c r="K995" i="17"/>
  <c r="K996" i="17"/>
  <c r="K997" i="17"/>
  <c r="K998" i="17"/>
  <c r="K999" i="17"/>
  <c r="K1000" i="17"/>
  <c r="K1001" i="17"/>
  <c r="K1002" i="17"/>
  <c r="K1003" i="17"/>
  <c r="K1004" i="17"/>
  <c r="K981" i="17"/>
  <c r="K953" i="17"/>
  <c r="K954" i="17"/>
  <c r="K955" i="17"/>
  <c r="K956" i="17"/>
  <c r="K957" i="17"/>
  <c r="K958" i="17"/>
  <c r="K959" i="17"/>
  <c r="K960" i="17"/>
  <c r="K961" i="17"/>
  <c r="K962" i="17"/>
  <c r="K963" i="17"/>
  <c r="K964" i="17"/>
  <c r="K965" i="17"/>
  <c r="K966" i="17"/>
  <c r="K967" i="17"/>
  <c r="K968" i="17"/>
  <c r="K952" i="17"/>
  <c r="K922" i="17"/>
  <c r="K923" i="17"/>
  <c r="K924" i="17"/>
  <c r="K925" i="17"/>
  <c r="K926" i="17"/>
  <c r="K927" i="17"/>
  <c r="K928" i="17"/>
  <c r="K929" i="17"/>
  <c r="K930" i="17"/>
  <c r="K931" i="17"/>
  <c r="K932" i="17"/>
  <c r="K933" i="17"/>
  <c r="K934" i="17"/>
  <c r="K935" i="17"/>
  <c r="K936" i="17"/>
  <c r="K937" i="17"/>
  <c r="K938" i="17"/>
  <c r="K939" i="17"/>
  <c r="K940" i="17"/>
  <c r="K941" i="17"/>
  <c r="K942" i="17"/>
  <c r="K943" i="17"/>
  <c r="K944" i="17"/>
  <c r="K945" i="17"/>
  <c r="K946" i="17"/>
  <c r="K921" i="17"/>
  <c r="K874" i="17"/>
  <c r="K875" i="17"/>
  <c r="K876" i="17"/>
  <c r="K877" i="17"/>
  <c r="K878" i="17"/>
  <c r="K879" i="17"/>
  <c r="K880" i="17"/>
  <c r="K881" i="17"/>
  <c r="K882" i="17"/>
  <c r="K883" i="17"/>
  <c r="K884" i="17"/>
  <c r="K885" i="17"/>
  <c r="K886" i="17"/>
  <c r="K887" i="17"/>
  <c r="K888" i="17"/>
  <c r="K889" i="17"/>
  <c r="K890" i="17"/>
  <c r="K891" i="17"/>
  <c r="K892" i="17"/>
  <c r="K893" i="17"/>
  <c r="K894" i="17"/>
  <c r="K895" i="17"/>
  <c r="K896" i="17"/>
  <c r="K897" i="17"/>
  <c r="K898" i="17"/>
  <c r="K899" i="17"/>
  <c r="K900" i="17"/>
  <c r="K901" i="17"/>
  <c r="K902" i="17"/>
  <c r="K903" i="17"/>
  <c r="K904" i="17"/>
  <c r="K905" i="17"/>
  <c r="K906" i="17"/>
  <c r="K907" i="17"/>
  <c r="K908" i="17"/>
  <c r="K909" i="17"/>
  <c r="K910" i="17"/>
  <c r="K911" i="17"/>
  <c r="K912" i="17"/>
  <c r="K913" i="17"/>
  <c r="K914" i="17"/>
  <c r="K915" i="17"/>
  <c r="K873" i="17"/>
  <c r="K832" i="17"/>
  <c r="K833" i="17"/>
  <c r="K834" i="17"/>
  <c r="K835" i="17"/>
  <c r="K836" i="17"/>
  <c r="K837" i="17"/>
  <c r="K838" i="17"/>
  <c r="K839" i="17"/>
  <c r="K840" i="17"/>
  <c r="K841" i="17"/>
  <c r="K842" i="17"/>
  <c r="K843" i="17"/>
  <c r="K844" i="17"/>
  <c r="K845" i="17"/>
  <c r="K846" i="17"/>
  <c r="K847" i="17"/>
  <c r="K848" i="17"/>
  <c r="K849" i="17"/>
  <c r="K850" i="17"/>
  <c r="K851" i="17"/>
  <c r="K852" i="17"/>
  <c r="K853" i="17"/>
  <c r="K831" i="17"/>
  <c r="K820" i="17"/>
  <c r="K821" i="17"/>
  <c r="K822" i="17"/>
  <c r="K823" i="17"/>
  <c r="K824" i="17"/>
  <c r="K825" i="17"/>
  <c r="K819" i="17"/>
  <c r="K804" i="17"/>
  <c r="K805" i="17"/>
  <c r="K806" i="17"/>
  <c r="K807" i="17"/>
  <c r="K808" i="17"/>
  <c r="K809" i="17"/>
  <c r="K810" i="17"/>
  <c r="K811" i="17"/>
  <c r="K812" i="17"/>
  <c r="K813" i="17"/>
  <c r="K803" i="17"/>
  <c r="K781" i="17"/>
  <c r="K782" i="17"/>
  <c r="K783" i="17"/>
  <c r="K784" i="17"/>
  <c r="K785" i="17"/>
  <c r="K786" i="17"/>
  <c r="K787" i="17"/>
  <c r="K788" i="17"/>
  <c r="K789" i="17"/>
  <c r="K790" i="17"/>
  <c r="K791" i="17"/>
  <c r="K792" i="17"/>
  <c r="K793" i="17"/>
  <c r="K794" i="17"/>
  <c r="K795" i="17"/>
  <c r="K796" i="17"/>
  <c r="K797" i="17"/>
  <c r="K780" i="17"/>
  <c r="K749" i="17"/>
  <c r="K750" i="17"/>
  <c r="K751" i="17"/>
  <c r="K752" i="17"/>
  <c r="K753" i="17"/>
  <c r="K754" i="17"/>
  <c r="K755" i="17"/>
  <c r="K756" i="17"/>
  <c r="K757" i="17"/>
  <c r="K758" i="17"/>
  <c r="K759" i="17"/>
  <c r="K760" i="17"/>
  <c r="K748" i="17"/>
  <c r="K723" i="17"/>
  <c r="K724" i="17"/>
  <c r="K725" i="17"/>
  <c r="K726" i="17"/>
  <c r="K727" i="17"/>
  <c r="K728" i="17"/>
  <c r="K729" i="17"/>
  <c r="K730" i="17"/>
  <c r="K731" i="17"/>
  <c r="K732" i="17"/>
  <c r="K733" i="17"/>
  <c r="K734" i="17"/>
  <c r="K735" i="17"/>
  <c r="K722" i="17"/>
  <c r="K695" i="17"/>
  <c r="K696" i="17"/>
  <c r="K697" i="17"/>
  <c r="K698" i="17"/>
  <c r="K699" i="17"/>
  <c r="K700" i="17"/>
  <c r="K701" i="17"/>
  <c r="K702" i="17"/>
  <c r="K703" i="17"/>
  <c r="K704" i="17"/>
  <c r="K705" i="17"/>
  <c r="K706" i="17"/>
  <c r="K707" i="17"/>
  <c r="K694" i="17"/>
  <c r="K676" i="17"/>
  <c r="K677" i="17"/>
  <c r="K678" i="17"/>
  <c r="K679" i="17"/>
  <c r="K680" i="17"/>
  <c r="K681" i="17"/>
  <c r="K682" i="17"/>
  <c r="K683" i="17"/>
  <c r="K684" i="17"/>
  <c r="K685" i="17"/>
  <c r="K686" i="17"/>
  <c r="K687" i="17"/>
  <c r="K688" i="17"/>
  <c r="K675" i="17"/>
  <c r="K648" i="17"/>
  <c r="K649" i="17"/>
  <c r="K650" i="17"/>
  <c r="K651" i="17"/>
  <c r="K652" i="17"/>
  <c r="K653" i="17"/>
  <c r="K654" i="17"/>
  <c r="K655" i="17"/>
  <c r="K656" i="17"/>
  <c r="K657" i="17"/>
  <c r="K658" i="17"/>
  <c r="K659" i="17"/>
  <c r="K660" i="17"/>
  <c r="K647" i="17"/>
  <c r="K616" i="17"/>
  <c r="K617" i="17"/>
  <c r="K618" i="17"/>
  <c r="K619" i="17"/>
  <c r="K620" i="17"/>
  <c r="K621" i="17"/>
  <c r="K622" i="17"/>
  <c r="K623" i="17"/>
  <c r="K624" i="17"/>
  <c r="K625" i="17"/>
  <c r="K626" i="17"/>
  <c r="K627" i="17"/>
  <c r="K628" i="17"/>
  <c r="K629" i="17"/>
  <c r="K630" i="17"/>
  <c r="K631" i="17"/>
  <c r="K632" i="17"/>
  <c r="K615" i="17"/>
  <c r="K596" i="17"/>
  <c r="K597" i="17"/>
  <c r="K598" i="17"/>
  <c r="K599" i="17"/>
  <c r="K600" i="17"/>
  <c r="K601" i="17"/>
  <c r="K602" i="17"/>
  <c r="K603" i="17"/>
  <c r="K604" i="17"/>
  <c r="K605" i="17"/>
  <c r="K606" i="17"/>
  <c r="K607" i="17"/>
  <c r="K608" i="17"/>
  <c r="K609" i="17"/>
  <c r="K595" i="17"/>
  <c r="K576" i="17"/>
  <c r="K577" i="17"/>
  <c r="K578" i="17"/>
  <c r="K579" i="17"/>
  <c r="K580" i="17"/>
  <c r="K581" i="17"/>
  <c r="K582" i="17"/>
  <c r="K583" i="17"/>
  <c r="K584" i="17"/>
  <c r="K585" i="17"/>
  <c r="K586" i="17"/>
  <c r="K587" i="17"/>
  <c r="K588" i="17"/>
  <c r="K589" i="17"/>
  <c r="K575" i="17"/>
  <c r="K550" i="17"/>
  <c r="K551" i="17"/>
  <c r="K552" i="17"/>
  <c r="K553" i="17"/>
  <c r="K554" i="17"/>
  <c r="K555" i="17"/>
  <c r="K556" i="17"/>
  <c r="K557" i="17"/>
  <c r="K558" i="17"/>
  <c r="K559" i="17"/>
  <c r="K549" i="17"/>
  <c r="K496" i="17"/>
  <c r="K497" i="17"/>
  <c r="K498" i="17"/>
  <c r="K499" i="17"/>
  <c r="K500" i="17"/>
  <c r="K501" i="17"/>
  <c r="K502" i="17"/>
  <c r="K503" i="17"/>
  <c r="K504" i="17"/>
  <c r="K505" i="17"/>
  <c r="K506" i="17"/>
  <c r="K507" i="17"/>
  <c r="K508" i="17"/>
  <c r="K509" i="17"/>
  <c r="K510" i="17"/>
  <c r="K511" i="17"/>
  <c r="K512" i="17"/>
  <c r="K513" i="17"/>
  <c r="K514" i="17"/>
  <c r="K515" i="17"/>
  <c r="K516" i="17"/>
  <c r="K517" i="17"/>
  <c r="K518" i="17"/>
  <c r="K519" i="17"/>
  <c r="K520" i="17"/>
  <c r="K521" i="17"/>
  <c r="K522" i="17"/>
  <c r="K523" i="17"/>
  <c r="K524" i="17"/>
  <c r="K525" i="17"/>
  <c r="K526" i="17"/>
  <c r="K527" i="17"/>
  <c r="K528" i="17"/>
  <c r="K529" i="17"/>
  <c r="K530" i="17"/>
  <c r="K531" i="17"/>
  <c r="K532" i="17"/>
  <c r="K533" i="17"/>
  <c r="K495" i="17"/>
  <c r="K473" i="17"/>
  <c r="K474" i="17"/>
  <c r="K475" i="17"/>
  <c r="K476" i="17"/>
  <c r="K477" i="17"/>
  <c r="K478" i="17"/>
  <c r="K479" i="17"/>
  <c r="K480" i="17"/>
  <c r="K481" i="17"/>
  <c r="K482" i="17"/>
  <c r="K483" i="17"/>
  <c r="K484" i="17"/>
  <c r="K485" i="17"/>
  <c r="K486" i="17"/>
  <c r="K487" i="17"/>
  <c r="K488" i="17"/>
  <c r="K489" i="17"/>
  <c r="K472" i="17"/>
  <c r="K452" i="17"/>
  <c r="K453" i="17"/>
  <c r="K454" i="17"/>
  <c r="K455" i="17"/>
  <c r="K456" i="17"/>
  <c r="K457" i="17"/>
  <c r="K458" i="17"/>
  <c r="K459" i="17"/>
  <c r="K460" i="17"/>
  <c r="K461" i="17"/>
  <c r="K462" i="17"/>
  <c r="K463" i="17"/>
  <c r="K464" i="17"/>
  <c r="K465" i="17"/>
  <c r="K466" i="17"/>
  <c r="K451" i="17"/>
  <c r="K428" i="17"/>
  <c r="K429" i="17"/>
  <c r="K430" i="17"/>
  <c r="K431" i="17"/>
  <c r="K432" i="17"/>
  <c r="K433" i="17"/>
  <c r="K434" i="17"/>
  <c r="K435" i="17"/>
  <c r="K436" i="17"/>
  <c r="K437" i="17"/>
  <c r="K427" i="17"/>
  <c r="K411" i="17"/>
  <c r="K412" i="17"/>
  <c r="K413" i="17"/>
  <c r="K414" i="17"/>
  <c r="K415" i="17"/>
  <c r="K416" i="17"/>
  <c r="K417" i="17"/>
  <c r="K418" i="17"/>
  <c r="K419" i="17"/>
  <c r="K420" i="17"/>
  <c r="K421" i="17"/>
  <c r="K410" i="17"/>
  <c r="K392" i="17"/>
  <c r="K393" i="17"/>
  <c r="K394" i="17"/>
  <c r="K395" i="17"/>
  <c r="K396" i="17"/>
  <c r="K397" i="17"/>
  <c r="K398" i="17"/>
  <c r="K399" i="17"/>
  <c r="K400" i="17"/>
  <c r="K401" i="17"/>
  <c r="K402" i="17"/>
  <c r="K403" i="17"/>
  <c r="K404" i="17"/>
  <c r="K391" i="17"/>
  <c r="K381" i="17"/>
  <c r="K382" i="17"/>
  <c r="K383" i="17"/>
  <c r="K384" i="17"/>
  <c r="K385" i="17"/>
  <c r="K386" i="17"/>
  <c r="K387" i="17"/>
  <c r="K380" i="17"/>
  <c r="K363" i="17"/>
  <c r="K364" i="17"/>
  <c r="K365" i="17"/>
  <c r="K366" i="17"/>
  <c r="K367" i="17"/>
  <c r="K368" i="17"/>
  <c r="K369" i="17"/>
  <c r="K370" i="17"/>
  <c r="K371" i="17"/>
  <c r="K372" i="17"/>
  <c r="K373" i="17"/>
  <c r="K374" i="17"/>
  <c r="K362" i="17"/>
  <c r="K351" i="17"/>
  <c r="K352" i="17"/>
  <c r="K353" i="17"/>
  <c r="K354" i="17"/>
  <c r="K355" i="17"/>
  <c r="K356" i="17"/>
  <c r="K357" i="17"/>
  <c r="K358" i="17"/>
  <c r="K350" i="17"/>
  <c r="K322" i="17"/>
  <c r="K323" i="17"/>
  <c r="K324" i="17"/>
  <c r="K325" i="17"/>
  <c r="K326" i="17"/>
  <c r="K327" i="17"/>
  <c r="K328" i="17"/>
  <c r="K329" i="17"/>
  <c r="K330" i="17"/>
  <c r="K331" i="17"/>
  <c r="K332" i="17"/>
  <c r="K333" i="17"/>
  <c r="K334" i="17"/>
  <c r="K335" i="17"/>
  <c r="K336" i="17"/>
  <c r="K321" i="17"/>
  <c r="K289" i="17"/>
  <c r="K290" i="17"/>
  <c r="K291" i="17"/>
  <c r="K292" i="17"/>
  <c r="K293" i="17"/>
  <c r="K294" i="17"/>
  <c r="K295" i="17"/>
  <c r="K296" i="17"/>
  <c r="K297" i="17"/>
  <c r="K298" i="17"/>
  <c r="K299" i="17"/>
  <c r="K300" i="17"/>
  <c r="K301" i="17"/>
  <c r="K302" i="17"/>
  <c r="K303" i="17"/>
  <c r="K304" i="17"/>
  <c r="K305" i="17"/>
  <c r="K306" i="17"/>
  <c r="K288" i="17"/>
  <c r="K253" i="17"/>
  <c r="K254" i="17"/>
  <c r="K255" i="17"/>
  <c r="K256" i="17"/>
  <c r="K257" i="17"/>
  <c r="K258" i="17"/>
  <c r="K259" i="17"/>
  <c r="K260" i="17"/>
  <c r="K261" i="17"/>
  <c r="K262" i="17"/>
  <c r="K263" i="17"/>
  <c r="K264" i="17"/>
  <c r="K265" i="17"/>
  <c r="K266" i="17"/>
  <c r="K267" i="17"/>
  <c r="K268" i="17"/>
  <c r="K269" i="17"/>
  <c r="K270" i="17"/>
  <c r="K271" i="17"/>
  <c r="K272" i="17"/>
  <c r="K273" i="17"/>
  <c r="K274" i="17"/>
  <c r="K275" i="17"/>
  <c r="K252" i="17"/>
  <c r="K221" i="17"/>
  <c r="K222" i="17"/>
  <c r="K223" i="17"/>
  <c r="K224" i="17"/>
  <c r="K225" i="17"/>
  <c r="K226" i="17"/>
  <c r="K227" i="17"/>
  <c r="K228" i="17"/>
  <c r="K229" i="17"/>
  <c r="K230" i="17"/>
  <c r="K231" i="17"/>
  <c r="K232" i="17"/>
  <c r="K233" i="17"/>
  <c r="K234" i="17"/>
  <c r="K220" i="17"/>
  <c r="K187" i="17"/>
  <c r="K188" i="17"/>
  <c r="K189" i="17"/>
  <c r="K190" i="17"/>
  <c r="K191" i="17"/>
  <c r="K192" i="17"/>
  <c r="K193" i="17"/>
  <c r="K194" i="17"/>
  <c r="K195" i="17"/>
  <c r="K196" i="17"/>
  <c r="K197" i="17"/>
  <c r="K198" i="17"/>
  <c r="K199" i="17"/>
  <c r="K200" i="17"/>
  <c r="K201" i="17"/>
  <c r="K202" i="17"/>
  <c r="K203" i="17"/>
  <c r="K204" i="17"/>
  <c r="K205" i="17"/>
  <c r="K206" i="17"/>
  <c r="K186" i="17"/>
  <c r="K158" i="17"/>
  <c r="K159" i="17"/>
  <c r="K160" i="17"/>
  <c r="K161" i="17"/>
  <c r="K162" i="17"/>
  <c r="K163" i="17"/>
  <c r="K164" i="17"/>
  <c r="K165" i="17"/>
  <c r="K166" i="17"/>
  <c r="K167" i="17"/>
  <c r="K168" i="17"/>
  <c r="K169" i="17"/>
  <c r="K170" i="17"/>
  <c r="K171" i="17"/>
  <c r="K172" i="17"/>
  <c r="K173" i="17"/>
  <c r="K157" i="17"/>
  <c r="K121" i="17"/>
  <c r="K122" i="17"/>
  <c r="K123" i="17"/>
  <c r="K124" i="17"/>
  <c r="K125" i="17"/>
  <c r="K126" i="17"/>
  <c r="K127" i="17"/>
  <c r="K128" i="17"/>
  <c r="K129" i="17"/>
  <c r="K130" i="17"/>
  <c r="K131" i="17"/>
  <c r="K132" i="17"/>
  <c r="K133" i="17"/>
  <c r="K134" i="17"/>
  <c r="K135" i="17"/>
  <c r="K136" i="17"/>
  <c r="K137" i="17"/>
  <c r="K138" i="17"/>
  <c r="K139" i="17"/>
  <c r="K140" i="17"/>
  <c r="K141" i="17"/>
  <c r="K142" i="17"/>
  <c r="K143" i="17"/>
  <c r="K144" i="17"/>
  <c r="K120" i="17"/>
  <c r="K100" i="17"/>
  <c r="K101" i="17"/>
  <c r="K107" i="17" s="1"/>
  <c r="F13" i="16" s="1"/>
  <c r="F14" i="16" s="1"/>
  <c r="K102" i="17"/>
  <c r="K103" i="17"/>
  <c r="K104" i="17"/>
  <c r="K105" i="17"/>
  <c r="K106" i="17"/>
  <c r="K99" i="17"/>
  <c r="K67" i="17"/>
  <c r="K68" i="17"/>
  <c r="K69" i="17"/>
  <c r="K70" i="17"/>
  <c r="K71" i="17"/>
  <c r="K72" i="17"/>
  <c r="K73" i="17"/>
  <c r="K74" i="17"/>
  <c r="K75" i="17"/>
  <c r="K76" i="17"/>
  <c r="K77" i="17"/>
  <c r="K78" i="17"/>
  <c r="K79" i="17"/>
  <c r="K80" i="17"/>
  <c r="K81" i="17"/>
  <c r="K82" i="17"/>
  <c r="K83" i="17"/>
  <c r="K84" i="17"/>
  <c r="K85" i="17"/>
  <c r="K86" i="17"/>
  <c r="K66" i="17"/>
  <c r="K47" i="17"/>
  <c r="K48" i="17"/>
  <c r="K49" i="17"/>
  <c r="K50" i="17"/>
  <c r="K51" i="17"/>
  <c r="K52" i="17"/>
  <c r="K53" i="17"/>
  <c r="K54" i="17"/>
  <c r="K55" i="17"/>
  <c r="K56" i="17"/>
  <c r="K57" i="17"/>
  <c r="K58" i="17"/>
  <c r="K59" i="17"/>
  <c r="K60" i="17"/>
  <c r="K46" i="17"/>
  <c r="L61" i="17"/>
  <c r="G7" i="16" s="1"/>
  <c r="K17" i="17"/>
  <c r="K548" i="17"/>
  <c r="F64" i="16" s="1"/>
  <c r="K422" i="17" l="1"/>
  <c r="F50" i="16" s="1"/>
  <c r="F51" i="16" s="1"/>
  <c r="K1317" i="17"/>
  <c r="F160" i="16" s="1"/>
  <c r="F161" i="16" s="1"/>
  <c r="K947" i="17"/>
  <c r="F110" i="16" s="1"/>
  <c r="F111" i="16" s="1"/>
  <c r="K1959" i="17"/>
  <c r="F226" i="16" s="1"/>
  <c r="F227" i="16" s="1"/>
  <c r="K1978" i="17"/>
  <c r="F229" i="16" s="1"/>
  <c r="F230" i="16" s="1"/>
  <c r="K1048" i="17"/>
  <c r="F124" i="16" s="1"/>
  <c r="F125" i="16" s="1"/>
  <c r="K1205" i="17"/>
  <c r="F148" i="16" s="1"/>
  <c r="F149" i="16" s="1"/>
  <c r="K174" i="17"/>
  <c r="F19" i="16" s="1"/>
  <c r="F20" i="16" s="1"/>
  <c r="K276" i="17"/>
  <c r="F31" i="16" s="1"/>
  <c r="F32" i="16" s="1"/>
  <c r="K405" i="17"/>
  <c r="F47" i="16" s="1"/>
  <c r="F48" i="16" s="1"/>
  <c r="K490" i="17"/>
  <c r="F59" i="16" s="1"/>
  <c r="F60" i="16" s="1"/>
  <c r="K1149" i="17"/>
  <c r="F139" i="16" s="1"/>
  <c r="F140" i="16" s="1"/>
  <c r="K337" i="17"/>
  <c r="F37" i="16" s="1"/>
  <c r="F38" i="16" s="1"/>
  <c r="K438" i="17"/>
  <c r="F53" i="16" s="1"/>
  <c r="F54" i="16" s="1"/>
  <c r="K534" i="17"/>
  <c r="F62" i="16" s="1"/>
  <c r="F63" i="16" s="1"/>
  <c r="K207" i="17"/>
  <c r="F25" i="16" s="1"/>
  <c r="F26" i="16" s="1"/>
  <c r="K661" i="17"/>
  <c r="F80" i="16" s="1"/>
  <c r="F81" i="16" s="1"/>
  <c r="K736" i="17"/>
  <c r="F89" i="16" s="1"/>
  <c r="F90" i="16" s="1"/>
  <c r="K761" i="17"/>
  <c r="F92" i="16" s="1"/>
  <c r="F93" i="16" s="1"/>
  <c r="K916" i="17"/>
  <c r="F107" i="16" s="1"/>
  <c r="F108" i="16" s="1"/>
  <c r="K1005" i="17"/>
  <c r="F118" i="16" s="1"/>
  <c r="F119" i="16" s="1"/>
  <c r="K1109" i="17"/>
  <c r="F133" i="16" s="1"/>
  <c r="F134" i="16" s="1"/>
  <c r="K1163" i="17"/>
  <c r="F142" i="16" s="1"/>
  <c r="F143" i="16" s="1"/>
  <c r="K2443" i="17"/>
  <c r="F276" i="16" s="1"/>
  <c r="F277" i="16" s="1"/>
  <c r="K87" i="17"/>
  <c r="F10" i="16" s="1"/>
  <c r="F11" i="16" s="1"/>
  <c r="K375" i="17"/>
  <c r="F42" i="16" s="1"/>
  <c r="F43" i="16" s="1"/>
  <c r="K388" i="17"/>
  <c r="F45" i="16" s="1"/>
  <c r="F46" i="16" s="1"/>
  <c r="K590" i="17"/>
  <c r="F68" i="16" s="1"/>
  <c r="F69" i="16" s="1"/>
  <c r="K826" i="17"/>
  <c r="F101" i="16" s="1"/>
  <c r="F102" i="16" s="1"/>
  <c r="K1223" i="17"/>
  <c r="F151" i="16" s="1"/>
  <c r="F152" i="16" s="1"/>
  <c r="K1335" i="17"/>
  <c r="F163" i="16" s="1"/>
  <c r="F164" i="16" s="1"/>
  <c r="K1349" i="17"/>
  <c r="F166" i="16" s="1"/>
  <c r="F167" i="16" s="1"/>
  <c r="K307" i="17"/>
  <c r="F34" i="16" s="1"/>
  <c r="F35" i="16" s="1"/>
  <c r="K145" i="17"/>
  <c r="F16" i="16" s="1"/>
  <c r="K467" i="17"/>
  <c r="F56" i="16" s="1"/>
  <c r="F57" i="16" s="1"/>
  <c r="K633" i="17"/>
  <c r="F74" i="16" s="1"/>
  <c r="F75" i="16" s="1"/>
  <c r="K689" i="17"/>
  <c r="F83" i="16" s="1"/>
  <c r="F84" i="16" s="1"/>
  <c r="K798" i="17"/>
  <c r="F95" i="16" s="1"/>
  <c r="F96" i="16" s="1"/>
  <c r="K2484" i="17"/>
  <c r="K610" i="17"/>
  <c r="F71" i="16" s="1"/>
  <c r="F72" i="16" s="1"/>
  <c r="K560" i="17"/>
  <c r="F65" i="16" s="1"/>
  <c r="F66" i="16" s="1"/>
  <c r="K359" i="17"/>
  <c r="F40" i="16" s="1"/>
  <c r="F41" i="16" s="1"/>
  <c r="K61" i="17"/>
  <c r="F7" i="16" s="1"/>
  <c r="J174" i="17"/>
  <c r="K389" i="17" l="1"/>
  <c r="F8" i="16"/>
  <c r="C15" i="16"/>
  <c r="J2409" i="17"/>
  <c r="L174" i="17"/>
  <c r="G19" i="16" s="1"/>
  <c r="L761" i="17"/>
  <c r="G92" i="16" s="1"/>
  <c r="J761" i="17"/>
  <c r="L747" i="17"/>
  <c r="G91" i="16" s="1"/>
  <c r="J747" i="17"/>
  <c r="L736" i="17"/>
  <c r="G89" i="16" s="1"/>
  <c r="J736" i="17"/>
  <c r="L721" i="17"/>
  <c r="G88" i="16" s="1"/>
  <c r="J721" i="17"/>
  <c r="L708" i="17"/>
  <c r="G86" i="16" s="1"/>
  <c r="J708" i="17"/>
  <c r="K708" i="17" s="1"/>
  <c r="F86" i="16" s="1"/>
  <c r="F87" i="16" s="1"/>
  <c r="L693" i="17"/>
  <c r="G85" i="16" s="1"/>
  <c r="J693" i="17"/>
  <c r="L689" i="17"/>
  <c r="G83" i="16" s="1"/>
  <c r="J689" i="17"/>
  <c r="L674" i="17"/>
  <c r="G82" i="16" s="1"/>
  <c r="G84" i="16" s="1"/>
  <c r="J674" i="17"/>
  <c r="J661" i="17"/>
  <c r="L661" i="17"/>
  <c r="G80" i="16" s="1"/>
  <c r="L646" i="17"/>
  <c r="G79" i="16" s="1"/>
  <c r="J646" i="17"/>
  <c r="L633" i="17"/>
  <c r="G74" i="16" s="1"/>
  <c r="J633" i="17"/>
  <c r="L614" i="17"/>
  <c r="G73" i="16" s="1"/>
  <c r="G75" i="16" s="1"/>
  <c r="J614" i="17"/>
  <c r="L610" i="17"/>
  <c r="G71" i="16" s="1"/>
  <c r="J610" i="17"/>
  <c r="L594" i="17"/>
  <c r="G70" i="16" s="1"/>
  <c r="G72" i="16" s="1"/>
  <c r="J594" i="17"/>
  <c r="L590" i="17"/>
  <c r="G68" i="16" s="1"/>
  <c r="J590" i="17"/>
  <c r="L574" i="17"/>
  <c r="G67" i="16" s="1"/>
  <c r="G69" i="16" s="1"/>
  <c r="J574" i="17"/>
  <c r="L560" i="17"/>
  <c r="G65" i="16" s="1"/>
  <c r="J560" i="17"/>
  <c r="L548" i="17"/>
  <c r="G64" i="16" s="1"/>
  <c r="J548" i="17"/>
  <c r="L534" i="17"/>
  <c r="G62" i="16" s="1"/>
  <c r="J534" i="17"/>
  <c r="L494" i="17"/>
  <c r="G61" i="16" s="1"/>
  <c r="G63" i="16" s="1"/>
  <c r="J494" i="17"/>
  <c r="L490" i="17"/>
  <c r="G59" i="16" s="1"/>
  <c r="J490" i="17"/>
  <c r="L471" i="17"/>
  <c r="G58" i="16" s="1"/>
  <c r="G60" i="16" s="1"/>
  <c r="J471" i="17"/>
  <c r="L467" i="17"/>
  <c r="G56" i="16" s="1"/>
  <c r="J467" i="17"/>
  <c r="L450" i="17"/>
  <c r="G55" i="16" s="1"/>
  <c r="G57" i="16" s="1"/>
  <c r="J450" i="17"/>
  <c r="L438" i="17"/>
  <c r="G53" i="16" s="1"/>
  <c r="J438" i="17"/>
  <c r="L426" i="17"/>
  <c r="G52" i="16" s="1"/>
  <c r="G54" i="16" s="1"/>
  <c r="J426" i="17"/>
  <c r="L422" i="17"/>
  <c r="G50" i="16" s="1"/>
  <c r="J422" i="17"/>
  <c r="L409" i="17"/>
  <c r="G49" i="16" s="1"/>
  <c r="J409" i="17"/>
  <c r="L405" i="17"/>
  <c r="J405" i="17"/>
  <c r="J406" i="17" s="1"/>
  <c r="L388" i="17"/>
  <c r="G45" i="16" s="1"/>
  <c r="J388" i="17"/>
  <c r="L375" i="17"/>
  <c r="J375" i="17"/>
  <c r="J376" i="17" s="1"/>
  <c r="L359" i="17"/>
  <c r="G40" i="16" s="1"/>
  <c r="J359" i="17"/>
  <c r="L349" i="17"/>
  <c r="G39" i="16" s="1"/>
  <c r="J349" i="17"/>
  <c r="L337" i="17"/>
  <c r="G37" i="16" s="1"/>
  <c r="J337" i="17"/>
  <c r="L320" i="17"/>
  <c r="G36" i="16" s="1"/>
  <c r="J320" i="17"/>
  <c r="L307" i="17"/>
  <c r="G34" i="16" s="1"/>
  <c r="G35" i="16" s="1"/>
  <c r="J307" i="17"/>
  <c r="L287" i="17"/>
  <c r="G33" i="16" s="1"/>
  <c r="J287" i="17"/>
  <c r="L276" i="17"/>
  <c r="G31" i="16" s="1"/>
  <c r="J276" i="17"/>
  <c r="J251" i="17"/>
  <c r="L251" i="17"/>
  <c r="G30" i="16" s="1"/>
  <c r="L235" i="17"/>
  <c r="G28" i="16" s="1"/>
  <c r="J235" i="17"/>
  <c r="K235" i="17" s="1"/>
  <c r="F28" i="16" s="1"/>
  <c r="F29" i="16" s="1"/>
  <c r="L219" i="17"/>
  <c r="G27" i="16" s="1"/>
  <c r="J219" i="17"/>
  <c r="L207" i="17"/>
  <c r="G25" i="16" s="1"/>
  <c r="G26" i="16" s="1"/>
  <c r="J207" i="17"/>
  <c r="L185" i="17"/>
  <c r="G24" i="16" s="1"/>
  <c r="J185" i="17"/>
  <c r="G87" i="16" l="1"/>
  <c r="G90" i="16"/>
  <c r="G93" i="16"/>
  <c r="G32" i="16"/>
  <c r="G38" i="16"/>
  <c r="G41" i="16"/>
  <c r="G81" i="16"/>
  <c r="G29" i="16"/>
  <c r="L376" i="17"/>
  <c r="G42" i="16"/>
  <c r="G43" i="16" s="1"/>
  <c r="L406" i="17"/>
  <c r="G47" i="16"/>
  <c r="G48" i="16" s="1"/>
  <c r="G51" i="16"/>
  <c r="G66" i="16"/>
  <c r="J591" i="17"/>
  <c r="J611" i="17"/>
  <c r="J690" i="17"/>
  <c r="J709" i="17"/>
  <c r="J762" i="17"/>
  <c r="L439" i="17"/>
  <c r="L591" i="17"/>
  <c r="J208" i="17"/>
  <c r="J423" i="17"/>
  <c r="J468" i="17"/>
  <c r="J491" i="17"/>
  <c r="J561" i="17"/>
  <c r="J737" i="17"/>
  <c r="J360" i="17"/>
  <c r="J236" i="17"/>
  <c r="J308" i="17"/>
  <c r="J634" i="17"/>
  <c r="L236" i="17"/>
  <c r="L634" i="17"/>
  <c r="J338" i="17"/>
  <c r="L535" i="17"/>
  <c r="L423" i="17"/>
  <c r="L561" i="17"/>
  <c r="L611" i="17"/>
  <c r="L709" i="17"/>
  <c r="L468" i="17"/>
  <c r="L762" i="17"/>
  <c r="L737" i="17"/>
  <c r="L690" i="17"/>
  <c r="J662" i="17"/>
  <c r="L662" i="17"/>
  <c r="J535" i="17"/>
  <c r="L491" i="17"/>
  <c r="J439" i="17"/>
  <c r="L360" i="17"/>
  <c r="L338" i="17"/>
  <c r="L308" i="17"/>
  <c r="L277" i="17"/>
  <c r="J277" i="17"/>
  <c r="L208" i="17"/>
  <c r="L156" i="17" l="1"/>
  <c r="G18" i="16" s="1"/>
  <c r="G20" i="16" s="1"/>
  <c r="J156" i="17"/>
  <c r="L145" i="17"/>
  <c r="J145" i="17"/>
  <c r="J146" i="17" s="1"/>
  <c r="J119" i="17"/>
  <c r="L107" i="17"/>
  <c r="G13" i="16" s="1"/>
  <c r="J107" i="17"/>
  <c r="L98" i="17"/>
  <c r="G12" i="16" s="1"/>
  <c r="J98" i="17"/>
  <c r="L87" i="17"/>
  <c r="G10" i="16" s="1"/>
  <c r="J87" i="17"/>
  <c r="L65" i="17"/>
  <c r="G9" i="16" s="1"/>
  <c r="J65" i="17"/>
  <c r="J61" i="17"/>
  <c r="J45" i="17"/>
  <c r="L45" i="17"/>
  <c r="G6" i="16" s="1"/>
  <c r="G8" i="16" s="1"/>
  <c r="L34" i="17"/>
  <c r="G4" i="16" s="1"/>
  <c r="J34" i="17"/>
  <c r="K34" i="17" s="1"/>
  <c r="F4" i="16" s="1"/>
  <c r="F5" i="16" s="1"/>
  <c r="J16" i="17"/>
  <c r="G16" i="16" l="1"/>
  <c r="G17" i="16" s="1"/>
  <c r="L146" i="17"/>
  <c r="G14" i="16"/>
  <c r="G11" i="16"/>
  <c r="J175" i="17"/>
  <c r="L108" i="17"/>
  <c r="J62" i="17"/>
  <c r="J108" i="17"/>
  <c r="J88" i="17"/>
  <c r="L88" i="17"/>
  <c r="L62" i="17"/>
  <c r="L175" i="17"/>
  <c r="M34" i="17"/>
  <c r="N34" i="17"/>
  <c r="J378" i="17" l="1"/>
  <c r="J379" i="17" s="1"/>
  <c r="J536" i="17"/>
  <c r="K536" i="17" s="1"/>
  <c r="J592" i="17"/>
  <c r="K592" i="17" s="1"/>
  <c r="J800" i="17"/>
  <c r="K800" i="17" s="1"/>
  <c r="J802" i="17"/>
  <c r="J818" i="17"/>
  <c r="J830" i="17"/>
  <c r="J920" i="17"/>
  <c r="J949" i="17"/>
  <c r="K949" i="17" s="1"/>
  <c r="J951" i="17"/>
  <c r="J1035" i="17"/>
  <c r="J1079" i="17"/>
  <c r="J1096" i="17"/>
  <c r="J1113" i="17"/>
  <c r="J1134" i="17"/>
  <c r="J1153" i="17"/>
  <c r="J1189" i="17"/>
  <c r="J1209" i="17"/>
  <c r="J1227" i="17"/>
  <c r="J1259" i="17"/>
  <c r="J1321" i="17"/>
  <c r="J1339" i="17"/>
  <c r="J1461" i="17"/>
  <c r="J1482" i="17"/>
  <c r="J1503" i="17"/>
  <c r="J1549" i="17"/>
  <c r="J1616" i="17"/>
  <c r="J1669" i="17"/>
  <c r="J1737" i="17"/>
  <c r="J1756" i="17"/>
  <c r="J1786" i="17"/>
  <c r="J1806" i="17"/>
  <c r="J1833" i="17"/>
  <c r="J1878" i="17"/>
  <c r="J1902" i="17"/>
  <c r="J1921" i="17"/>
  <c r="J1944" i="17"/>
  <c r="J1963" i="17"/>
  <c r="J1982" i="17"/>
  <c r="J2062" i="17"/>
  <c r="J2149" i="17"/>
  <c r="J2242" i="17"/>
  <c r="J2292" i="17"/>
  <c r="J2333" i="17"/>
  <c r="K2333" i="17" s="1"/>
  <c r="J2374" i="17"/>
  <c r="J2429" i="17"/>
  <c r="J2447" i="17"/>
  <c r="J389" i="17" l="1"/>
  <c r="L1294" i="17"/>
  <c r="G159" i="16" s="1"/>
  <c r="J1294" i="17"/>
  <c r="L980" i="17"/>
  <c r="G117" i="16" s="1"/>
  <c r="J980" i="17"/>
  <c r="L779" i="17"/>
  <c r="G94" i="16" s="1"/>
  <c r="J779" i="17"/>
  <c r="L2331" i="17"/>
  <c r="G264" i="16" s="1"/>
  <c r="G265" i="16" s="1"/>
  <c r="J2331" i="17"/>
  <c r="L2031" i="17"/>
  <c r="G235" i="16" s="1"/>
  <c r="J2031" i="17"/>
  <c r="K2031" i="17" s="1"/>
  <c r="F235" i="16" s="1"/>
  <c r="F236" i="16" s="1"/>
  <c r="L2013" i="17"/>
  <c r="G234" i="16" s="1"/>
  <c r="J2013" i="17"/>
  <c r="L1998" i="17"/>
  <c r="G232" i="16" s="1"/>
  <c r="J1998" i="17"/>
  <c r="L1978" i="17"/>
  <c r="G229" i="16" s="1"/>
  <c r="J1978" i="17"/>
  <c r="J1979" i="17" s="1"/>
  <c r="L1898" i="17"/>
  <c r="G217" i="16" s="1"/>
  <c r="J1898" i="17"/>
  <c r="L1733" i="17"/>
  <c r="G196" i="16" s="1"/>
  <c r="J1733" i="17"/>
  <c r="K1733" i="17" s="1"/>
  <c r="F196" i="16" s="1"/>
  <c r="F197" i="16" s="1"/>
  <c r="L1712" i="17"/>
  <c r="G195" i="16" s="1"/>
  <c r="J1712" i="17"/>
  <c r="L1665" i="17"/>
  <c r="G190" i="16" s="1"/>
  <c r="J1665" i="17"/>
  <c r="L1612" i="17"/>
  <c r="G187" i="16" s="1"/>
  <c r="J1612" i="17"/>
  <c r="L798" i="17"/>
  <c r="G95" i="16" s="1"/>
  <c r="J798" i="17"/>
  <c r="L2370" i="17"/>
  <c r="G267" i="16" s="1"/>
  <c r="J2370" i="17"/>
  <c r="K2370" i="17" s="1"/>
  <c r="F267" i="16" s="1"/>
  <c r="L2163" i="17"/>
  <c r="G250" i="16" s="1"/>
  <c r="J2163" i="17"/>
  <c r="L2145" i="17"/>
  <c r="G247" i="16" s="1"/>
  <c r="J2145" i="17"/>
  <c r="K2145" i="17" s="1"/>
  <c r="F247" i="16" s="1"/>
  <c r="F248" i="16" s="1"/>
  <c r="L1940" i="17"/>
  <c r="G223" i="16" s="1"/>
  <c r="J1940" i="17"/>
  <c r="L1874" i="17"/>
  <c r="G214" i="16" s="1"/>
  <c r="J1874" i="17"/>
  <c r="K1874" i="17" s="1"/>
  <c r="F214" i="16" s="1"/>
  <c r="F215" i="16" s="1"/>
  <c r="L1802" i="17"/>
  <c r="G205" i="16" s="1"/>
  <c r="J1802" i="17"/>
  <c r="L1545" i="17"/>
  <c r="G184" i="16" s="1"/>
  <c r="J1545" i="17"/>
  <c r="L1381" i="17"/>
  <c r="G169" i="16" s="1"/>
  <c r="J1381" i="17"/>
  <c r="K1381" i="17" s="1"/>
  <c r="F169" i="16" s="1"/>
  <c r="F170" i="16" s="1"/>
  <c r="L1005" i="17"/>
  <c r="G118" i="16" s="1"/>
  <c r="J1005" i="17"/>
  <c r="L947" i="17"/>
  <c r="G110" i="16" s="1"/>
  <c r="J947" i="17"/>
  <c r="J948" i="17" s="1"/>
  <c r="L2126" i="17"/>
  <c r="G246" i="16" s="1"/>
  <c r="G248" i="16" s="1"/>
  <c r="J2126" i="17"/>
  <c r="L2443" i="17"/>
  <c r="G276" i="16" s="1"/>
  <c r="J2443" i="17"/>
  <c r="J2444" i="17" s="1"/>
  <c r="L2344" i="17"/>
  <c r="G266" i="16" s="1"/>
  <c r="J2344" i="17"/>
  <c r="L1426" i="17"/>
  <c r="G172" i="16" s="1"/>
  <c r="J1426" i="17"/>
  <c r="K1426" i="17" s="1"/>
  <c r="F172" i="16" s="1"/>
  <c r="F173" i="16" s="1"/>
  <c r="L1163" i="17"/>
  <c r="G142" i="16" s="1"/>
  <c r="J1163" i="17"/>
  <c r="J1164" i="17" s="1"/>
  <c r="L1149" i="17"/>
  <c r="G139" i="16" s="1"/>
  <c r="J1149" i="17"/>
  <c r="J1150" i="17" s="1"/>
  <c r="L1075" i="17"/>
  <c r="G127" i="16" s="1"/>
  <c r="J1075" i="17"/>
  <c r="K1075" i="17" s="1"/>
  <c r="F127" i="16" s="1"/>
  <c r="F128" i="16" s="1"/>
  <c r="L1059" i="17"/>
  <c r="G126" i="16" s="1"/>
  <c r="J1059" i="17"/>
  <c r="L2058" i="17"/>
  <c r="G238" i="16" s="1"/>
  <c r="J2058" i="17"/>
  <c r="K2058" i="17" s="1"/>
  <c r="F238" i="16" s="1"/>
  <c r="F239" i="16" s="1"/>
  <c r="L2223" i="17"/>
  <c r="G257" i="16" s="1"/>
  <c r="J2223" i="17"/>
  <c r="L2183" i="17"/>
  <c r="G252" i="16" s="1"/>
  <c r="G253" i="16" s="1"/>
  <c r="J2183" i="17"/>
  <c r="K2183" i="17" s="1"/>
  <c r="F252" i="16" s="1"/>
  <c r="F253" i="16" s="1"/>
  <c r="L2081" i="17"/>
  <c r="G241" i="16" s="1"/>
  <c r="J2081" i="17"/>
  <c r="L2425" i="17"/>
  <c r="G273" i="16" s="1"/>
  <c r="J2425" i="17"/>
  <c r="K2425" i="17" s="1"/>
  <c r="F273" i="16" s="1"/>
  <c r="F274" i="16" s="1"/>
  <c r="L2238" i="17"/>
  <c r="G258" i="16" s="1"/>
  <c r="G259" i="16" s="1"/>
  <c r="J2238" i="17"/>
  <c r="L2114" i="17"/>
  <c r="G244" i="16" s="1"/>
  <c r="J2114" i="17"/>
  <c r="K2114" i="17" s="1"/>
  <c r="F244" i="16" s="1"/>
  <c r="F245" i="16" s="1"/>
  <c r="L2096" i="17"/>
  <c r="G243" i="16" s="1"/>
  <c r="J2096" i="17"/>
  <c r="L2044" i="17"/>
  <c r="G237" i="16" s="1"/>
  <c r="G239" i="16" s="1"/>
  <c r="J2044" i="17"/>
  <c r="L1847" i="17"/>
  <c r="G211" i="16" s="1"/>
  <c r="J1847" i="17"/>
  <c r="L1829" i="17"/>
  <c r="G208" i="16" s="1"/>
  <c r="J1829" i="17"/>
  <c r="L1782" i="17"/>
  <c r="G202" i="16" s="1"/>
  <c r="J1782" i="17"/>
  <c r="J1783" i="17" s="1"/>
  <c r="L1752" i="17"/>
  <c r="G199" i="16" s="1"/>
  <c r="J1752" i="17"/>
  <c r="L1362" i="17"/>
  <c r="G168" i="16" s="1"/>
  <c r="G170" i="16" s="1"/>
  <c r="J1362" i="17"/>
  <c r="L1048" i="17"/>
  <c r="G124" i="16" s="1"/>
  <c r="J1048" i="17"/>
  <c r="J1049" i="17" s="1"/>
  <c r="L1031" i="17"/>
  <c r="G121" i="16" s="1"/>
  <c r="J1031" i="17"/>
  <c r="K1031" i="17" s="1"/>
  <c r="F121" i="16" s="1"/>
  <c r="F122" i="16" s="1"/>
  <c r="L1016" i="17"/>
  <c r="G120" i="16" s="1"/>
  <c r="J1016" i="17"/>
  <c r="L872" i="17"/>
  <c r="G106" i="16" s="1"/>
  <c r="J872" i="17"/>
  <c r="L1321" i="17"/>
  <c r="G162" i="16" s="1"/>
  <c r="L1833" i="17"/>
  <c r="G210" i="16" s="1"/>
  <c r="L1806" i="17"/>
  <c r="G207" i="16" s="1"/>
  <c r="L1756" i="17"/>
  <c r="G201" i="16" s="1"/>
  <c r="L1737" i="17"/>
  <c r="G198" i="16" s="1"/>
  <c r="G200" i="16" s="1"/>
  <c r="L1482" i="17"/>
  <c r="G180" i="16" s="1"/>
  <c r="L1113" i="17"/>
  <c r="G135" i="16" s="1"/>
  <c r="L1035" i="17"/>
  <c r="G123" i="16" s="1"/>
  <c r="L2149" i="17"/>
  <c r="G249" i="16" s="1"/>
  <c r="L1944" i="17"/>
  <c r="G225" i="16" s="1"/>
  <c r="L1921" i="17"/>
  <c r="G222" i="16" s="1"/>
  <c r="G224" i="16" s="1"/>
  <c r="L1902" i="17"/>
  <c r="G219" i="16" s="1"/>
  <c r="L1786" i="17"/>
  <c r="G204" i="16" s="1"/>
  <c r="L1503" i="17"/>
  <c r="G183" i="16" s="1"/>
  <c r="L1461" i="17"/>
  <c r="G177" i="16" s="1"/>
  <c r="L1339" i="17"/>
  <c r="G165" i="16" s="1"/>
  <c r="L1259" i="17"/>
  <c r="G156" i="16" s="1"/>
  <c r="L1227" i="17"/>
  <c r="G153" i="16" s="1"/>
  <c r="L1096" i="17"/>
  <c r="G132" i="16" s="1"/>
  <c r="L951" i="17"/>
  <c r="G114" i="16" s="1"/>
  <c r="L920" i="17"/>
  <c r="G109" i="16" s="1"/>
  <c r="L2429" i="17"/>
  <c r="G275" i="16" s="1"/>
  <c r="L2062" i="17"/>
  <c r="G240" i="16" s="1"/>
  <c r="G242" i="16" s="1"/>
  <c r="L1209" i="17"/>
  <c r="G150" i="16" s="1"/>
  <c r="L1189" i="17"/>
  <c r="G147" i="16" s="1"/>
  <c r="L1153" i="17"/>
  <c r="G141" i="16" s="1"/>
  <c r="L1134" i="17"/>
  <c r="G138" i="16" s="1"/>
  <c r="G140" i="16" s="1"/>
  <c r="L830" i="17"/>
  <c r="G103" i="16" s="1"/>
  <c r="L818" i="17"/>
  <c r="G100" i="16" s="1"/>
  <c r="L2447" i="17"/>
  <c r="G278" i="16" s="1"/>
  <c r="L2242" i="17"/>
  <c r="G260" i="16" s="1"/>
  <c r="L1669" i="17"/>
  <c r="G192" i="16" s="1"/>
  <c r="L2374" i="17"/>
  <c r="G269" i="16" s="1"/>
  <c r="L2292" i="17"/>
  <c r="G263" i="16" s="1"/>
  <c r="L1982" i="17"/>
  <c r="G231" i="16" s="1"/>
  <c r="G233" i="16" s="1"/>
  <c r="L1963" i="17"/>
  <c r="G228" i="16" s="1"/>
  <c r="L1878" i="17"/>
  <c r="G216" i="16" s="1"/>
  <c r="G218" i="16" s="1"/>
  <c r="L1616" i="17"/>
  <c r="G189" i="16" s="1"/>
  <c r="L1549" i="17"/>
  <c r="G186" i="16" s="1"/>
  <c r="G188" i="16" s="1"/>
  <c r="L1079" i="17"/>
  <c r="G129" i="16" s="1"/>
  <c r="L802" i="17"/>
  <c r="G97" i="16" s="1"/>
  <c r="L378" i="17"/>
  <c r="L379" i="17" s="1"/>
  <c r="G44" i="16" s="1"/>
  <c r="G46" i="16" s="1"/>
  <c r="E50" i="1"/>
  <c r="E21" i="1"/>
  <c r="G550" i="15"/>
  <c r="G206" i="16" l="1"/>
  <c r="G122" i="16"/>
  <c r="G197" i="16"/>
  <c r="G96" i="16"/>
  <c r="G111" i="16"/>
  <c r="G251" i="16"/>
  <c r="G230" i="16"/>
  <c r="G209" i="16"/>
  <c r="G245" i="16"/>
  <c r="G128" i="16"/>
  <c r="G236" i="16"/>
  <c r="G119" i="16"/>
  <c r="G191" i="16"/>
  <c r="G143" i="16"/>
  <c r="G277" i="16"/>
  <c r="G185" i="16"/>
  <c r="G212" i="16"/>
  <c r="G268" i="16"/>
  <c r="G125" i="16"/>
  <c r="G203" i="16"/>
  <c r="F268" i="16"/>
  <c r="J1753" i="17"/>
  <c r="K1752" i="17"/>
  <c r="F199" i="16" s="1"/>
  <c r="F200" i="16" s="1"/>
  <c r="J1830" i="17"/>
  <c r="K1829" i="17"/>
  <c r="F208" i="16" s="1"/>
  <c r="F209" i="16" s="1"/>
  <c r="J1546" i="17"/>
  <c r="K1545" i="17"/>
  <c r="F184" i="16" s="1"/>
  <c r="F185" i="16" s="1"/>
  <c r="J1613" i="17"/>
  <c r="K1612" i="17"/>
  <c r="F187" i="16" s="1"/>
  <c r="F188" i="16" s="1"/>
  <c r="J1899" i="17"/>
  <c r="K1898" i="17"/>
  <c r="F217" i="16" s="1"/>
  <c r="F218" i="16" s="1"/>
  <c r="J1999" i="17"/>
  <c r="K1998" i="17"/>
  <c r="F232" i="16" s="1"/>
  <c r="F233" i="16" s="1"/>
  <c r="J1848" i="17"/>
  <c r="K1847" i="17"/>
  <c r="F211" i="16" s="1"/>
  <c r="F212" i="16" s="1"/>
  <c r="J2239" i="17"/>
  <c r="K2238" i="17"/>
  <c r="F258" i="16" s="1"/>
  <c r="F259" i="16" s="1"/>
  <c r="J2082" i="17"/>
  <c r="K2081" i="17"/>
  <c r="F241" i="16" s="1"/>
  <c r="F242" i="16" s="1"/>
  <c r="J1803" i="17"/>
  <c r="K1802" i="17"/>
  <c r="F205" i="16" s="1"/>
  <c r="F206" i="16" s="1"/>
  <c r="J1941" i="17"/>
  <c r="K1940" i="17"/>
  <c r="F223" i="16" s="1"/>
  <c r="F224" i="16" s="1"/>
  <c r="J2164" i="17"/>
  <c r="K2163" i="17"/>
  <c r="F250" i="16" s="1"/>
  <c r="F251" i="16" s="1"/>
  <c r="J1666" i="17"/>
  <c r="K1665" i="17"/>
  <c r="F190" i="16" s="1"/>
  <c r="F191" i="16" s="1"/>
  <c r="J2332" i="17"/>
  <c r="K2331" i="17"/>
  <c r="F264" i="16" s="1"/>
  <c r="F265" i="16" s="1"/>
  <c r="J799" i="17"/>
  <c r="L1783" i="17"/>
  <c r="L2239" i="17"/>
  <c r="L389" i="17"/>
  <c r="L1049" i="17"/>
  <c r="L1006" i="17"/>
  <c r="J2115" i="17"/>
  <c r="L1848" i="17"/>
  <c r="L2115" i="17"/>
  <c r="L1734" i="17"/>
  <c r="J2426" i="17"/>
  <c r="L1164" i="17"/>
  <c r="L1830" i="17"/>
  <c r="L2059" i="17"/>
  <c r="L1150" i="17"/>
  <c r="L1753" i="17"/>
  <c r="J1032" i="17"/>
  <c r="J1076" i="17"/>
  <c r="L948" i="17"/>
  <c r="L2164" i="17"/>
  <c r="L799" i="17"/>
  <c r="L1613" i="17"/>
  <c r="L1979" i="17"/>
  <c r="L2332" i="17"/>
  <c r="J1006" i="17"/>
  <c r="J1382" i="17"/>
  <c r="J2146" i="17"/>
  <c r="J2371" i="17"/>
  <c r="J1734" i="17"/>
  <c r="J2032" i="17"/>
  <c r="L1032" i="17"/>
  <c r="L2082" i="17"/>
  <c r="L1076" i="17"/>
  <c r="J2059" i="17"/>
  <c r="L2444" i="17"/>
  <c r="L1382" i="17"/>
  <c r="L1803" i="17"/>
  <c r="L1941" i="17"/>
  <c r="L2146" i="17"/>
  <c r="L2371" i="17"/>
  <c r="L1666" i="17"/>
  <c r="L1899" i="17"/>
  <c r="L1999" i="17"/>
  <c r="L2032" i="17"/>
  <c r="E72" i="1"/>
  <c r="E75" i="1" s="1"/>
  <c r="G5" i="17"/>
  <c r="H16" i="17"/>
  <c r="I16" i="17"/>
  <c r="G34" i="17"/>
  <c r="H34" i="17"/>
  <c r="I34" i="17"/>
  <c r="G45" i="17"/>
  <c r="H45" i="17"/>
  <c r="I45" i="17"/>
  <c r="G61" i="17"/>
  <c r="H61" i="17"/>
  <c r="I61" i="17"/>
  <c r="G65" i="17"/>
  <c r="H65" i="17"/>
  <c r="I65" i="17"/>
  <c r="G87" i="17"/>
  <c r="H87" i="17"/>
  <c r="I87" i="17"/>
  <c r="G98" i="17"/>
  <c r="H98" i="17"/>
  <c r="I98" i="17"/>
  <c r="G103" i="17"/>
  <c r="G106" i="17"/>
  <c r="H107" i="17"/>
  <c r="H108" i="17" s="1"/>
  <c r="I107" i="17"/>
  <c r="I108" i="17" s="1"/>
  <c r="G119" i="17"/>
  <c r="E15" i="16" s="1"/>
  <c r="H119" i="17"/>
  <c r="F15" i="16" s="1"/>
  <c r="I119" i="17"/>
  <c r="G145" i="17"/>
  <c r="H145" i="17"/>
  <c r="I145" i="17"/>
  <c r="G156" i="17"/>
  <c r="H156" i="17"/>
  <c r="H174" i="17" s="1"/>
  <c r="H175" i="17" s="1"/>
  <c r="I156" i="17"/>
  <c r="I174" i="17" s="1"/>
  <c r="I175" i="17" s="1"/>
  <c r="G173" i="17"/>
  <c r="G185" i="17"/>
  <c r="H185" i="17"/>
  <c r="I185" i="17"/>
  <c r="G207" i="17"/>
  <c r="H207" i="17"/>
  <c r="I207" i="17"/>
  <c r="G219" i="17"/>
  <c r="H219" i="17"/>
  <c r="I219" i="17"/>
  <c r="G220" i="17"/>
  <c r="H235" i="17"/>
  <c r="I235" i="17"/>
  <c r="G251" i="17"/>
  <c r="H251" i="17"/>
  <c r="I251" i="17"/>
  <c r="G276" i="17"/>
  <c r="H276" i="17"/>
  <c r="I276" i="17"/>
  <c r="G287" i="17"/>
  <c r="H287" i="17"/>
  <c r="I287" i="17"/>
  <c r="G289" i="17"/>
  <c r="H307" i="17"/>
  <c r="I307" i="17"/>
  <c r="G320" i="17"/>
  <c r="H320" i="17"/>
  <c r="I320" i="17"/>
  <c r="G336" i="17"/>
  <c r="H337" i="17"/>
  <c r="I337" i="17"/>
  <c r="G349" i="17"/>
  <c r="H349" i="17"/>
  <c r="I349" i="17"/>
  <c r="G359" i="17"/>
  <c r="H359" i="17"/>
  <c r="I359" i="17"/>
  <c r="G375" i="17"/>
  <c r="G376" i="17" s="1"/>
  <c r="H375" i="17"/>
  <c r="H376" i="17" s="1"/>
  <c r="I375" i="17"/>
  <c r="I376" i="17" s="1"/>
  <c r="G379" i="17"/>
  <c r="H379" i="17"/>
  <c r="I379" i="17"/>
  <c r="G388" i="17"/>
  <c r="H388" i="17"/>
  <c r="I388" i="17"/>
  <c r="G404" i="17"/>
  <c r="H405" i="17"/>
  <c r="H406" i="17" s="1"/>
  <c r="I405" i="17"/>
  <c r="I406" i="17" s="1"/>
  <c r="G409" i="17"/>
  <c r="H409" i="17"/>
  <c r="I409" i="17"/>
  <c r="G422" i="17"/>
  <c r="H422" i="17"/>
  <c r="I422" i="17"/>
  <c r="G426" i="17"/>
  <c r="H426" i="17"/>
  <c r="I426" i="17"/>
  <c r="G438" i="17"/>
  <c r="H438" i="17"/>
  <c r="I438" i="17"/>
  <c r="G450" i="17"/>
  <c r="H450" i="17"/>
  <c r="I450" i="17"/>
  <c r="G452" i="17"/>
  <c r="G453" i="17"/>
  <c r="G454" i="17"/>
  <c r="H467" i="17"/>
  <c r="I467" i="17"/>
  <c r="G471" i="17"/>
  <c r="H471" i="17"/>
  <c r="I471" i="17"/>
  <c r="G490" i="17"/>
  <c r="H490" i="17"/>
  <c r="I490" i="17"/>
  <c r="G494" i="17"/>
  <c r="H494" i="17"/>
  <c r="I494" i="17"/>
  <c r="G534" i="17"/>
  <c r="H534" i="17"/>
  <c r="I534" i="17"/>
  <c r="G548" i="17"/>
  <c r="H548" i="17"/>
  <c r="I548" i="17"/>
  <c r="G560" i="17"/>
  <c r="H560" i="17"/>
  <c r="I560" i="17"/>
  <c r="G574" i="17"/>
  <c r="H574" i="17"/>
  <c r="I574" i="17"/>
  <c r="G590" i="17"/>
  <c r="H590" i="17"/>
  <c r="I590" i="17"/>
  <c r="G594" i="17"/>
  <c r="H594" i="17"/>
  <c r="I594" i="17"/>
  <c r="G595" i="17"/>
  <c r="H610" i="17"/>
  <c r="I610" i="17"/>
  <c r="G614" i="17"/>
  <c r="H614" i="17"/>
  <c r="I614" i="17"/>
  <c r="G629" i="17"/>
  <c r="H633" i="17"/>
  <c r="I633" i="17"/>
  <c r="H636" i="17"/>
  <c r="H640" i="17"/>
  <c r="H644" i="17"/>
  <c r="G646" i="17"/>
  <c r="I646" i="17"/>
  <c r="G661" i="17"/>
  <c r="H661" i="17"/>
  <c r="I661" i="17"/>
  <c r="G674" i="17"/>
  <c r="H674" i="17"/>
  <c r="I674" i="17"/>
  <c r="G675" i="17"/>
  <c r="H689" i="17"/>
  <c r="I689" i="17"/>
  <c r="G693" i="17"/>
  <c r="H693" i="17"/>
  <c r="I693" i="17"/>
  <c r="H696" i="17"/>
  <c r="G703" i="17"/>
  <c r="G704" i="17"/>
  <c r="G705" i="17"/>
  <c r="G706" i="17"/>
  <c r="I708" i="17"/>
  <c r="G721" i="17"/>
  <c r="H721" i="17"/>
  <c r="I721" i="17"/>
  <c r="G735" i="17"/>
  <c r="H736" i="17"/>
  <c r="I736" i="17"/>
  <c r="G747" i="17"/>
  <c r="H747" i="17"/>
  <c r="I747" i="17"/>
  <c r="G757" i="17"/>
  <c r="H761" i="17"/>
  <c r="I761" i="17"/>
  <c r="G779" i="17"/>
  <c r="H779" i="17"/>
  <c r="I779" i="17"/>
  <c r="G798" i="17"/>
  <c r="H798" i="17"/>
  <c r="I798" i="17"/>
  <c r="G802" i="17"/>
  <c r="H802" i="17"/>
  <c r="I802" i="17"/>
  <c r="G805" i="17"/>
  <c r="G806" i="17"/>
  <c r="H814" i="17"/>
  <c r="H815" i="17" s="1"/>
  <c r="I814" i="17"/>
  <c r="G818" i="17"/>
  <c r="H818" i="17"/>
  <c r="I818" i="17"/>
  <c r="G819" i="17"/>
  <c r="J826" i="17" s="1"/>
  <c r="J827" i="17" s="1"/>
  <c r="H826" i="17"/>
  <c r="I826" i="17"/>
  <c r="G830" i="17"/>
  <c r="H830" i="17"/>
  <c r="I830" i="17"/>
  <c r="G852" i="17"/>
  <c r="J854" i="17" s="1"/>
  <c r="H854" i="17"/>
  <c r="I854" i="17"/>
  <c r="H915" i="17"/>
  <c r="J916" i="17" s="1"/>
  <c r="J917" i="17" s="1"/>
  <c r="G916" i="17"/>
  <c r="H916" i="17"/>
  <c r="I916" i="17"/>
  <c r="G920" i="17"/>
  <c r="H920" i="17"/>
  <c r="I920" i="17"/>
  <c r="G947" i="17"/>
  <c r="H947" i="17"/>
  <c r="I947" i="17"/>
  <c r="G951" i="17"/>
  <c r="H951" i="17"/>
  <c r="I951" i="17"/>
  <c r="G952" i="17"/>
  <c r="G961" i="17"/>
  <c r="H969" i="17"/>
  <c r="H970" i="17" s="1"/>
  <c r="I969" i="17"/>
  <c r="I970" i="17" s="1"/>
  <c r="G980" i="17"/>
  <c r="H980" i="17"/>
  <c r="I980" i="17"/>
  <c r="G1005" i="17"/>
  <c r="H1005" i="17"/>
  <c r="I1005" i="17"/>
  <c r="G1016" i="17"/>
  <c r="H1016" i="17"/>
  <c r="I1016" i="17"/>
  <c r="G1031" i="17"/>
  <c r="H1031" i="17"/>
  <c r="I1031" i="17"/>
  <c r="G1035" i="17"/>
  <c r="H1035" i="17"/>
  <c r="I1035" i="17"/>
  <c r="G1048" i="17"/>
  <c r="H1048" i="17"/>
  <c r="I1048" i="17"/>
  <c r="G1059" i="17"/>
  <c r="H1059" i="17"/>
  <c r="I1059" i="17"/>
  <c r="G1075" i="17"/>
  <c r="H1075" i="17"/>
  <c r="I1075" i="17"/>
  <c r="G1079" i="17"/>
  <c r="H1079" i="17"/>
  <c r="I1079" i="17"/>
  <c r="G1088" i="17"/>
  <c r="J1092" i="17" s="1"/>
  <c r="H1092" i="17"/>
  <c r="I1092" i="17"/>
  <c r="G1096" i="17"/>
  <c r="H1096" i="17"/>
  <c r="I1096" i="17"/>
  <c r="G1103" i="17"/>
  <c r="J1109" i="17" s="1"/>
  <c r="J1110" i="17" s="1"/>
  <c r="H1109" i="17"/>
  <c r="I1109" i="17"/>
  <c r="G1113" i="17"/>
  <c r="H1113" i="17"/>
  <c r="I1113" i="17"/>
  <c r="G1126" i="17"/>
  <c r="J1130" i="17" s="1"/>
  <c r="H1130" i="17"/>
  <c r="I1130" i="17"/>
  <c r="G1134" i="17"/>
  <c r="H1134" i="17"/>
  <c r="I1134" i="17"/>
  <c r="G1149" i="17"/>
  <c r="H1149" i="17"/>
  <c r="I1149" i="17"/>
  <c r="G1153" i="17"/>
  <c r="H1153" i="17"/>
  <c r="I1153" i="17"/>
  <c r="G1163" i="17"/>
  <c r="H1163" i="17"/>
  <c r="I1163" i="17"/>
  <c r="G1172" i="17"/>
  <c r="J1174" i="17" s="1"/>
  <c r="H1174" i="17"/>
  <c r="I1174" i="17"/>
  <c r="G1180" i="17"/>
  <c r="J1185" i="17" s="1"/>
  <c r="K1185" i="17" s="1"/>
  <c r="F145" i="16" s="1"/>
  <c r="F146" i="16" s="1"/>
  <c r="H1185" i="17"/>
  <c r="I1185" i="17"/>
  <c r="G1189" i="17"/>
  <c r="H1189" i="17"/>
  <c r="I1189" i="17"/>
  <c r="G1203" i="17"/>
  <c r="J1205" i="17" s="1"/>
  <c r="J1206" i="17" s="1"/>
  <c r="H1205" i="17"/>
  <c r="I1205" i="17"/>
  <c r="G1209" i="17"/>
  <c r="H1209" i="17"/>
  <c r="I1209" i="17"/>
  <c r="G1210" i="17"/>
  <c r="J1223" i="17" s="1"/>
  <c r="J1224" i="17" s="1"/>
  <c r="H1223" i="17"/>
  <c r="I1223" i="17"/>
  <c r="G1227" i="17"/>
  <c r="H1227" i="17"/>
  <c r="I1227" i="17"/>
  <c r="G1228" i="17"/>
  <c r="G1232" i="17"/>
  <c r="G1240" i="17"/>
  <c r="G1246" i="17"/>
  <c r="G1250" i="17"/>
  <c r="H1255" i="17"/>
  <c r="I1255" i="17"/>
  <c r="G1259" i="17"/>
  <c r="H1259" i="17"/>
  <c r="I1259" i="17"/>
  <c r="G1273" i="17"/>
  <c r="J1280" i="17" s="1"/>
  <c r="H1280" i="17"/>
  <c r="I1280" i="17"/>
  <c r="G1294" i="17"/>
  <c r="H1294" i="17"/>
  <c r="I1294" i="17"/>
  <c r="G1302" i="17"/>
  <c r="J1317" i="17" s="1"/>
  <c r="J1318" i="17" s="1"/>
  <c r="H1317" i="17"/>
  <c r="I1317" i="17"/>
  <c r="G1321" i="17"/>
  <c r="H1321" i="17"/>
  <c r="I1321" i="17"/>
  <c r="G1334" i="17"/>
  <c r="J1335" i="17" s="1"/>
  <c r="J1336" i="17" s="1"/>
  <c r="H1335" i="17"/>
  <c r="I1335" i="17"/>
  <c r="G1339" i="17"/>
  <c r="H1339" i="17"/>
  <c r="I1339" i="17"/>
  <c r="G1340" i="17"/>
  <c r="J1349" i="17" s="1"/>
  <c r="J1350" i="17" s="1"/>
  <c r="H1349" i="17"/>
  <c r="I1349" i="17"/>
  <c r="G1362" i="17"/>
  <c r="H1362" i="17"/>
  <c r="I1362" i="17"/>
  <c r="G1381" i="17"/>
  <c r="H1381" i="17"/>
  <c r="I1381" i="17"/>
  <c r="G1396" i="17"/>
  <c r="J1397" i="17" s="1"/>
  <c r="H1397" i="17"/>
  <c r="I1397" i="17"/>
  <c r="G1426" i="17"/>
  <c r="H1426" i="17"/>
  <c r="I1426" i="17"/>
  <c r="G1437" i="17"/>
  <c r="J1439" i="17" s="1"/>
  <c r="H1439" i="17"/>
  <c r="I1439" i="17"/>
  <c r="G1440" i="17"/>
  <c r="G1441" i="17"/>
  <c r="G1451" i="17"/>
  <c r="H1457" i="17"/>
  <c r="I1457" i="17"/>
  <c r="G1461" i="17"/>
  <c r="H1461" i="17"/>
  <c r="I1461" i="17"/>
  <c r="G1462" i="17"/>
  <c r="J1478" i="17" s="1"/>
  <c r="H1478" i="17"/>
  <c r="I1478" i="17"/>
  <c r="G1482" i="17"/>
  <c r="H1482" i="17"/>
  <c r="I1482" i="17"/>
  <c r="G1483" i="17"/>
  <c r="G1485" i="17"/>
  <c r="G1494" i="17"/>
  <c r="H1499" i="17"/>
  <c r="I1499" i="17"/>
  <c r="G1503" i="17"/>
  <c r="H1503" i="17"/>
  <c r="I1503" i="17"/>
  <c r="G1545" i="17"/>
  <c r="H1545" i="17"/>
  <c r="I1545" i="17"/>
  <c r="G1549" i="17"/>
  <c r="H1549" i="17"/>
  <c r="I1549" i="17"/>
  <c r="G1612" i="17"/>
  <c r="H1612" i="17"/>
  <c r="I1612" i="17"/>
  <c r="G1616" i="17"/>
  <c r="H1616" i="17"/>
  <c r="I1616" i="17"/>
  <c r="G1665" i="17"/>
  <c r="H1665" i="17"/>
  <c r="I1665" i="17"/>
  <c r="G1669" i="17"/>
  <c r="H1669" i="17"/>
  <c r="I1669" i="17"/>
  <c r="G1681" i="17"/>
  <c r="G1692" i="17"/>
  <c r="H1697" i="17"/>
  <c r="H1698" i="17" s="1"/>
  <c r="I1697" i="17"/>
  <c r="I1698" i="17" s="1"/>
  <c r="G1712" i="17"/>
  <c r="H1712" i="17"/>
  <c r="I1712" i="17"/>
  <c r="G1733" i="17"/>
  <c r="H1733" i="17"/>
  <c r="I1733" i="17"/>
  <c r="G1737" i="17"/>
  <c r="H1737" i="17"/>
  <c r="I1737" i="17"/>
  <c r="G1752" i="17"/>
  <c r="H1752" i="17"/>
  <c r="I1752" i="17"/>
  <c r="G1756" i="17"/>
  <c r="H1756" i="17"/>
  <c r="I1756" i="17"/>
  <c r="G1782" i="17"/>
  <c r="H1782" i="17"/>
  <c r="I1782" i="17"/>
  <c r="G1786" i="17"/>
  <c r="H1786" i="17"/>
  <c r="I1786" i="17"/>
  <c r="G1802" i="17"/>
  <c r="H1802" i="17"/>
  <c r="I1802" i="17"/>
  <c r="G1806" i="17"/>
  <c r="H1806" i="17"/>
  <c r="I1806" i="17"/>
  <c r="G1829" i="17"/>
  <c r="H1829" i="17"/>
  <c r="I1829" i="17"/>
  <c r="G1833" i="17"/>
  <c r="H1833" i="17"/>
  <c r="I1833" i="17"/>
  <c r="G1847" i="17"/>
  <c r="H1847" i="17"/>
  <c r="I1847" i="17"/>
  <c r="G1859" i="17"/>
  <c r="J1860" i="17" s="1"/>
  <c r="H1860" i="17"/>
  <c r="I1860" i="17"/>
  <c r="G1874" i="17"/>
  <c r="H1874" i="17"/>
  <c r="I1874" i="17"/>
  <c r="G1878" i="17"/>
  <c r="H1878" i="17"/>
  <c r="I1878" i="17"/>
  <c r="G1898" i="17"/>
  <c r="H1898" i="17"/>
  <c r="I1898" i="17"/>
  <c r="G1902" i="17"/>
  <c r="H1902" i="17"/>
  <c r="I1902" i="17"/>
  <c r="G1903" i="17"/>
  <c r="G1908" i="17"/>
  <c r="G1909" i="17"/>
  <c r="G1912" i="17"/>
  <c r="H1917" i="17"/>
  <c r="I1917" i="17"/>
  <c r="G1921" i="17"/>
  <c r="H1921" i="17"/>
  <c r="I1921" i="17"/>
  <c r="G1940" i="17"/>
  <c r="H1940" i="17"/>
  <c r="I1940" i="17"/>
  <c r="G1944" i="17"/>
  <c r="H1944" i="17"/>
  <c r="I1944" i="17"/>
  <c r="G1948" i="17"/>
  <c r="J1959" i="17" s="1"/>
  <c r="J1960" i="17" s="1"/>
  <c r="H1959" i="17"/>
  <c r="I1959" i="17"/>
  <c r="G1963" i="17"/>
  <c r="H1963" i="17"/>
  <c r="I1963" i="17"/>
  <c r="G1978" i="17"/>
  <c r="H1978" i="17"/>
  <c r="I1978" i="17"/>
  <c r="G1982" i="17"/>
  <c r="H1982" i="17"/>
  <c r="I1982" i="17"/>
  <c r="G1998" i="17"/>
  <c r="H1998" i="17"/>
  <c r="I1998" i="17"/>
  <c r="G2013" i="17"/>
  <c r="H2013" i="17"/>
  <c r="I2013" i="17"/>
  <c r="G2031" i="17"/>
  <c r="H2031" i="17"/>
  <c r="I2031" i="17"/>
  <c r="G2044" i="17"/>
  <c r="H2044" i="17"/>
  <c r="I2044" i="17"/>
  <c r="G2058" i="17"/>
  <c r="H2058" i="17"/>
  <c r="I2058" i="17"/>
  <c r="G2062" i="17"/>
  <c r="H2062" i="17"/>
  <c r="I2062" i="17"/>
  <c r="G2081" i="17"/>
  <c r="H2081" i="17"/>
  <c r="I2081" i="17"/>
  <c r="G2096" i="17"/>
  <c r="H2096" i="17"/>
  <c r="I2096" i="17"/>
  <c r="G2114" i="17"/>
  <c r="H2114" i="17"/>
  <c r="I2114" i="17"/>
  <c r="G2126" i="17"/>
  <c r="H2126" i="17"/>
  <c r="I2126" i="17"/>
  <c r="G2145" i="17"/>
  <c r="H2145" i="17"/>
  <c r="I2145" i="17"/>
  <c r="G2149" i="17"/>
  <c r="H2149" i="17"/>
  <c r="I2149" i="17"/>
  <c r="G2163" i="17"/>
  <c r="H2163" i="17"/>
  <c r="I2163" i="17"/>
  <c r="G2183" i="17"/>
  <c r="H2183" i="17"/>
  <c r="I2183" i="17"/>
  <c r="G2185" i="17"/>
  <c r="J2187" i="17" s="1"/>
  <c r="H2187" i="17"/>
  <c r="I2187" i="17"/>
  <c r="G2200" i="17"/>
  <c r="J2209" i="17" s="1"/>
  <c r="K2209" i="17" s="1"/>
  <c r="F255" i="16" s="1"/>
  <c r="F256" i="16" s="1"/>
  <c r="H2209" i="17"/>
  <c r="I2209" i="17"/>
  <c r="G2223" i="17"/>
  <c r="H2223" i="17"/>
  <c r="I2223" i="17"/>
  <c r="G2238" i="17"/>
  <c r="H2238" i="17"/>
  <c r="I2238" i="17"/>
  <c r="G2242" i="17"/>
  <c r="H2242" i="17"/>
  <c r="I2242" i="17"/>
  <c r="G2259" i="17"/>
  <c r="J2288" i="17" s="1"/>
  <c r="H2288" i="17"/>
  <c r="I2288" i="17"/>
  <c r="G2292" i="17"/>
  <c r="H2292" i="17"/>
  <c r="I2292" i="17"/>
  <c r="G2331" i="17"/>
  <c r="H2331" i="17"/>
  <c r="I2331" i="17"/>
  <c r="G2344" i="17"/>
  <c r="H2344" i="17"/>
  <c r="I2344" i="17"/>
  <c r="G2370" i="17"/>
  <c r="H2370" i="17"/>
  <c r="I2370" i="17"/>
  <c r="G2374" i="17"/>
  <c r="H2374" i="17"/>
  <c r="I2374" i="17"/>
  <c r="G2377" i="17"/>
  <c r="G2379" i="17"/>
  <c r="H2404" i="17"/>
  <c r="I2404" i="17"/>
  <c r="G2409" i="17"/>
  <c r="H2409" i="17"/>
  <c r="I2409" i="17"/>
  <c r="G2425" i="17"/>
  <c r="H2425" i="17"/>
  <c r="I2425" i="17"/>
  <c r="G2429" i="17"/>
  <c r="H2429" i="17"/>
  <c r="I2429" i="17"/>
  <c r="G2443" i="17"/>
  <c r="H2443" i="17"/>
  <c r="I2443" i="17"/>
  <c r="G2447" i="17"/>
  <c r="H2447" i="17"/>
  <c r="I2447" i="17"/>
  <c r="G2448" i="17"/>
  <c r="J2477" i="17" s="1"/>
  <c r="H2477" i="17"/>
  <c r="I2477" i="17"/>
  <c r="V784" i="26"/>
  <c r="F17" i="16" l="1"/>
  <c r="F281" i="16"/>
  <c r="J2478" i="17"/>
  <c r="K2477" i="17"/>
  <c r="F279" i="16" s="1"/>
  <c r="F280" i="16" s="1"/>
  <c r="J1479" i="17"/>
  <c r="K1478" i="17"/>
  <c r="F178" i="16" s="1"/>
  <c r="F179" i="16" s="1"/>
  <c r="J1281" i="17"/>
  <c r="K1280" i="17"/>
  <c r="F157" i="16" s="1"/>
  <c r="F158" i="16" s="1"/>
  <c r="J2289" i="17"/>
  <c r="K2288" i="17"/>
  <c r="J855" i="17"/>
  <c r="K854" i="17"/>
  <c r="F104" i="16" s="1"/>
  <c r="F105" i="16" s="1"/>
  <c r="J1131" i="17"/>
  <c r="K1130" i="17"/>
  <c r="F136" i="16" s="1"/>
  <c r="F137" i="16" s="1"/>
  <c r="J1093" i="17"/>
  <c r="K1092" i="17"/>
  <c r="F130" i="16" s="1"/>
  <c r="F131" i="16" s="1"/>
  <c r="J1427" i="17"/>
  <c r="J1875" i="17"/>
  <c r="J1186" i="17"/>
  <c r="J2210" i="17"/>
  <c r="L1917" i="17"/>
  <c r="G220" i="16" s="1"/>
  <c r="G221" i="16" s="1"/>
  <c r="J1917" i="17"/>
  <c r="L969" i="17"/>
  <c r="G115" i="16" s="1"/>
  <c r="G116" i="16" s="1"/>
  <c r="J969" i="17"/>
  <c r="L1499" i="17"/>
  <c r="G181" i="16" s="1"/>
  <c r="G182" i="16" s="1"/>
  <c r="J1499" i="17"/>
  <c r="L1255" i="17"/>
  <c r="G154" i="16" s="1"/>
  <c r="G155" i="16" s="1"/>
  <c r="J1255" i="17"/>
  <c r="L814" i="17"/>
  <c r="G98" i="16" s="1"/>
  <c r="G99" i="16" s="1"/>
  <c r="J814" i="17"/>
  <c r="L2404" i="17"/>
  <c r="G270" i="16" s="1"/>
  <c r="G271" i="16" s="1"/>
  <c r="J2404" i="17"/>
  <c r="L1697" i="17"/>
  <c r="G193" i="16" s="1"/>
  <c r="G194" i="16" s="1"/>
  <c r="J1697" i="17"/>
  <c r="L1457" i="17"/>
  <c r="G175" i="16" s="1"/>
  <c r="J1457" i="17"/>
  <c r="L1174" i="17"/>
  <c r="G144" i="16" s="1"/>
  <c r="L1860" i="17"/>
  <c r="G213" i="16" s="1"/>
  <c r="G215" i="16" s="1"/>
  <c r="L1397" i="17"/>
  <c r="G171" i="16" s="1"/>
  <c r="G173" i="16" s="1"/>
  <c r="L1439" i="17"/>
  <c r="G174" i="16" s="1"/>
  <c r="G176" i="16" s="1"/>
  <c r="L2187" i="17"/>
  <c r="G254" i="16" s="1"/>
  <c r="L2288" i="17"/>
  <c r="G261" i="16" s="1"/>
  <c r="G262" i="16" s="1"/>
  <c r="L1317" i="17"/>
  <c r="G160" i="16" s="1"/>
  <c r="G161" i="16" s="1"/>
  <c r="L1130" i="17"/>
  <c r="G136" i="16" s="1"/>
  <c r="G137" i="16" s="1"/>
  <c r="L1092" i="17"/>
  <c r="G130" i="16" s="1"/>
  <c r="G131" i="16" s="1"/>
  <c r="L2209" i="17"/>
  <c r="G255" i="16" s="1"/>
  <c r="L1959" i="17"/>
  <c r="G226" i="16" s="1"/>
  <c r="G227" i="16" s="1"/>
  <c r="L1349" i="17"/>
  <c r="G166" i="16" s="1"/>
  <c r="G167" i="16" s="1"/>
  <c r="L2477" i="17"/>
  <c r="G279" i="16" s="1"/>
  <c r="G280" i="16" s="1"/>
  <c r="L1478" i="17"/>
  <c r="G178" i="16" s="1"/>
  <c r="G179" i="16" s="1"/>
  <c r="L1335" i="17"/>
  <c r="G163" i="16" s="1"/>
  <c r="G164" i="16" s="1"/>
  <c r="L1280" i="17"/>
  <c r="G157" i="16" s="1"/>
  <c r="G158" i="16" s="1"/>
  <c r="L1223" i="17"/>
  <c r="G151" i="16" s="1"/>
  <c r="G152" i="16" s="1"/>
  <c r="L1185" i="17"/>
  <c r="G145" i="16" s="1"/>
  <c r="L1109" i="17"/>
  <c r="G133" i="16" s="1"/>
  <c r="G134" i="16" s="1"/>
  <c r="L854" i="17"/>
  <c r="G104" i="16" s="1"/>
  <c r="G105" i="16" s="1"/>
  <c r="L826" i="17"/>
  <c r="G101" i="16" s="1"/>
  <c r="G102" i="16" s="1"/>
  <c r="L916" i="17"/>
  <c r="G107" i="16" s="1"/>
  <c r="G108" i="16" s="1"/>
  <c r="I815" i="17"/>
  <c r="G1941" i="17"/>
  <c r="I1918" i="17"/>
  <c r="H535" i="17"/>
  <c r="I1960" i="17"/>
  <c r="H634" i="17"/>
  <c r="H308" i="17"/>
  <c r="I88" i="17"/>
  <c r="H708" i="17"/>
  <c r="H709" i="17" s="1"/>
  <c r="I2478" i="17"/>
  <c r="I1281" i="17"/>
  <c r="I1224" i="17"/>
  <c r="I1186" i="17"/>
  <c r="I1110" i="17"/>
  <c r="I1032" i="17"/>
  <c r="G1006" i="17"/>
  <c r="H827" i="17"/>
  <c r="G2371" i="17"/>
  <c r="G2288" i="17"/>
  <c r="G2289" i="17" s="1"/>
  <c r="G1860" i="17"/>
  <c r="G1875" i="17" s="1"/>
  <c r="G1185" i="17"/>
  <c r="G2404" i="17"/>
  <c r="G2405" i="17" s="1"/>
  <c r="I2289" i="17"/>
  <c r="G2239" i="17"/>
  <c r="I2210" i="17"/>
  <c r="H1281" i="17"/>
  <c r="H1224" i="17"/>
  <c r="H1186" i="17"/>
  <c r="H1110" i="17"/>
  <c r="G948" i="17"/>
  <c r="G423" i="17"/>
  <c r="I308" i="17"/>
  <c r="G277" i="17"/>
  <c r="I236" i="17"/>
  <c r="H2289" i="17"/>
  <c r="G2426" i="17"/>
  <c r="G2115" i="17"/>
  <c r="G1999" i="17"/>
  <c r="I1848" i="17"/>
  <c r="G1783" i="17"/>
  <c r="G1734" i="17"/>
  <c r="H1546" i="17"/>
  <c r="H1427" i="17"/>
  <c r="H1350" i="17"/>
  <c r="H1318" i="17"/>
  <c r="H1206" i="17"/>
  <c r="I827" i="17"/>
  <c r="I690" i="17"/>
  <c r="I611" i="17"/>
  <c r="I737" i="17"/>
  <c r="G389" i="17"/>
  <c r="G2187" i="17"/>
  <c r="G1917" i="17"/>
  <c r="G1918" i="17" s="1"/>
  <c r="G1439" i="17"/>
  <c r="G761" i="17"/>
  <c r="G762" i="17" s="1"/>
  <c r="G107" i="17"/>
  <c r="G108" i="17" s="1"/>
  <c r="H2478" i="17"/>
  <c r="G2209" i="17"/>
  <c r="H1960" i="17"/>
  <c r="G1613" i="17"/>
  <c r="G1478" i="17"/>
  <c r="G1479" i="17" s="1"/>
  <c r="G1335" i="17"/>
  <c r="G1336" i="17" s="1"/>
  <c r="G1280" i="17"/>
  <c r="G1281" i="17" s="1"/>
  <c r="I1256" i="17"/>
  <c r="G1223" i="17"/>
  <c r="G1224" i="17" s="1"/>
  <c r="G1164" i="17"/>
  <c r="I1150" i="17"/>
  <c r="G1130" i="17"/>
  <c r="G1131" i="17" s="1"/>
  <c r="I855" i="17"/>
  <c r="G826" i="17"/>
  <c r="G827" i="17" s="1"/>
  <c r="G689" i="17"/>
  <c r="G690" i="17" s="1"/>
  <c r="I634" i="17"/>
  <c r="H611" i="17"/>
  <c r="G307" i="17"/>
  <c r="G308" i="17" s="1"/>
  <c r="G235" i="17"/>
  <c r="G236" i="17" s="1"/>
  <c r="G16" i="17"/>
  <c r="G35" i="17" s="1"/>
  <c r="G1205" i="17"/>
  <c r="G1206" i="17" s="1"/>
  <c r="G405" i="17"/>
  <c r="G406" i="17" s="1"/>
  <c r="G2477" i="17"/>
  <c r="G2478" i="17" s="1"/>
  <c r="G1959" i="17"/>
  <c r="G1960" i="17" s="1"/>
  <c r="G1397" i="17"/>
  <c r="G1427" i="17" s="1"/>
  <c r="G1174" i="17"/>
  <c r="G1092" i="17"/>
  <c r="G1093" i="17" s="1"/>
  <c r="G969" i="17"/>
  <c r="G970" i="17" s="1"/>
  <c r="G736" i="17"/>
  <c r="G737" i="17" s="1"/>
  <c r="G610" i="17"/>
  <c r="G611" i="17" s="1"/>
  <c r="G1349" i="17"/>
  <c r="G1350" i="17" s="1"/>
  <c r="G1317" i="17"/>
  <c r="G1318" i="17" s="1"/>
  <c r="H1164" i="17"/>
  <c r="G1109" i="17"/>
  <c r="G1110" i="17" s="1"/>
  <c r="G1032" i="17"/>
  <c r="G854" i="17"/>
  <c r="G855" i="17" s="1"/>
  <c r="H646" i="17"/>
  <c r="G633" i="17"/>
  <c r="G634" i="17" s="1"/>
  <c r="G439" i="17"/>
  <c r="G337" i="17"/>
  <c r="G338" i="17" s="1"/>
  <c r="G174" i="17"/>
  <c r="G175" i="17" s="1"/>
  <c r="I2164" i="17"/>
  <c r="G2146" i="17"/>
  <c r="I2059" i="17"/>
  <c r="G2032" i="17"/>
  <c r="H1941" i="17"/>
  <c r="I1899" i="17"/>
  <c r="I1830" i="17"/>
  <c r="G1803" i="17"/>
  <c r="I1734" i="17"/>
  <c r="G1546" i="17"/>
  <c r="G1499" i="17"/>
  <c r="G1500" i="17" s="1"/>
  <c r="G1076" i="17"/>
  <c r="G708" i="17"/>
  <c r="G709" i="17" s="1"/>
  <c r="G535" i="17"/>
  <c r="G208" i="17"/>
  <c r="G146" i="17"/>
  <c r="H88" i="17"/>
  <c r="I2405" i="17"/>
  <c r="G2164" i="17"/>
  <c r="G2059" i="17"/>
  <c r="H1500" i="17"/>
  <c r="G561" i="17"/>
  <c r="G360" i="17"/>
  <c r="G2444" i="17"/>
  <c r="H2405" i="17"/>
  <c r="I1458" i="17"/>
  <c r="I1164" i="17"/>
  <c r="I468" i="17"/>
  <c r="G62" i="17"/>
  <c r="H1783" i="17"/>
  <c r="I1666" i="17"/>
  <c r="H1479" i="17"/>
  <c r="I1382" i="17"/>
  <c r="I1336" i="17"/>
  <c r="H1256" i="17"/>
  <c r="H1076" i="17"/>
  <c r="H737" i="17"/>
  <c r="I338" i="17"/>
  <c r="H236" i="17"/>
  <c r="I2371" i="17"/>
  <c r="H2115" i="17"/>
  <c r="H1999" i="17"/>
  <c r="H2444" i="17"/>
  <c r="I1427" i="17"/>
  <c r="I1093" i="17"/>
  <c r="I762" i="17"/>
  <c r="I491" i="17"/>
  <c r="H338" i="17"/>
  <c r="I277" i="17"/>
  <c r="H277" i="17"/>
  <c r="H2059" i="17"/>
  <c r="I2146" i="17"/>
  <c r="I1875" i="17"/>
  <c r="H1336" i="17"/>
  <c r="H1093" i="17"/>
  <c r="I709" i="17"/>
  <c r="I591" i="17"/>
  <c r="I2444" i="17"/>
  <c r="H2332" i="17"/>
  <c r="I2239" i="17"/>
  <c r="H2210" i="17"/>
  <c r="I2115" i="17"/>
  <c r="H1979" i="17"/>
  <c r="H1918" i="17"/>
  <c r="H1848" i="17"/>
  <c r="H1753" i="17"/>
  <c r="H1049" i="17"/>
  <c r="H799" i="17"/>
  <c r="I662" i="17"/>
  <c r="I439" i="17"/>
  <c r="H208" i="17"/>
  <c r="H146" i="17"/>
  <c r="I2082" i="17"/>
  <c r="I1979" i="17"/>
  <c r="I1753" i="17"/>
  <c r="I1049" i="17"/>
  <c r="I799" i="17"/>
  <c r="H762" i="17"/>
  <c r="H690" i="17"/>
  <c r="H491" i="17"/>
  <c r="I360" i="17"/>
  <c r="I208" i="17"/>
  <c r="I146" i="17"/>
  <c r="I62" i="17"/>
  <c r="I1500" i="17"/>
  <c r="I1479" i="17"/>
  <c r="H1006" i="17"/>
  <c r="H468" i="17"/>
  <c r="H389" i="17"/>
  <c r="H2426" i="17"/>
  <c r="H2146" i="17"/>
  <c r="H2032" i="17"/>
  <c r="I1783" i="17"/>
  <c r="I1546" i="17"/>
  <c r="I1076" i="17"/>
  <c r="H423" i="17"/>
  <c r="I389" i="17"/>
  <c r="H2371" i="17"/>
  <c r="G1979" i="17"/>
  <c r="I1941" i="17"/>
  <c r="H1899" i="17"/>
  <c r="H1613" i="17"/>
  <c r="H1150" i="17"/>
  <c r="I1131" i="17"/>
  <c r="H561" i="17"/>
  <c r="G2332" i="17"/>
  <c r="G1899" i="17"/>
  <c r="H1803" i="17"/>
  <c r="G662" i="17"/>
  <c r="I2332" i="17"/>
  <c r="H2239" i="17"/>
  <c r="H2082" i="17"/>
  <c r="G1666" i="17"/>
  <c r="H1458" i="17"/>
  <c r="G1382" i="17"/>
  <c r="H948" i="17"/>
  <c r="G814" i="17"/>
  <c r="G815" i="17" s="1"/>
  <c r="H591" i="17"/>
  <c r="G591" i="17"/>
  <c r="I535" i="17"/>
  <c r="H35" i="17"/>
  <c r="H1830" i="17"/>
  <c r="G1697" i="17"/>
  <c r="G1698" i="17" s="1"/>
  <c r="I1206" i="17"/>
  <c r="G1049" i="17"/>
  <c r="I1006" i="17"/>
  <c r="I2032" i="17"/>
  <c r="I1999" i="17"/>
  <c r="G1848" i="17"/>
  <c r="I1803" i="17"/>
  <c r="H1734" i="17"/>
  <c r="H1666" i="17"/>
  <c r="G1457" i="17"/>
  <c r="G1458" i="17" s="1"/>
  <c r="H1382" i="17"/>
  <c r="I1318" i="17"/>
  <c r="H1131" i="17"/>
  <c r="H1032" i="17"/>
  <c r="I948" i="17"/>
  <c r="H855" i="17"/>
  <c r="H439" i="17"/>
  <c r="H62" i="17"/>
  <c r="I2485" i="17"/>
  <c r="H1875" i="17"/>
  <c r="G1753" i="17"/>
  <c r="I1613" i="17"/>
  <c r="G1150" i="17"/>
  <c r="I423" i="17"/>
  <c r="I35" i="17"/>
  <c r="I2426" i="17"/>
  <c r="H2164" i="17"/>
  <c r="G2082" i="17"/>
  <c r="G1830" i="17"/>
  <c r="I1350" i="17"/>
  <c r="G1255" i="17"/>
  <c r="G1256" i="17" s="1"/>
  <c r="G799" i="17"/>
  <c r="H662" i="17"/>
  <c r="I561" i="17"/>
  <c r="G491" i="17"/>
  <c r="G467" i="17"/>
  <c r="G468" i="17" s="1"/>
  <c r="H360" i="17"/>
  <c r="G88" i="17"/>
  <c r="K2289" i="17" l="1"/>
  <c r="F261" i="16"/>
  <c r="F262" i="16" s="1"/>
  <c r="G256" i="16"/>
  <c r="G146" i="16"/>
  <c r="J1698" i="17"/>
  <c r="K1697" i="17"/>
  <c r="F193" i="16" s="1"/>
  <c r="F194" i="16" s="1"/>
  <c r="J1500" i="17"/>
  <c r="K1499" i="17"/>
  <c r="F181" i="16" s="1"/>
  <c r="F182" i="16" s="1"/>
  <c r="J1918" i="17"/>
  <c r="K1917" i="17"/>
  <c r="F220" i="16" s="1"/>
  <c r="F221" i="16" s="1"/>
  <c r="J1458" i="17"/>
  <c r="K1457" i="17"/>
  <c r="F175" i="16" s="1"/>
  <c r="F176" i="16" s="1"/>
  <c r="J2405" i="17"/>
  <c r="K2404" i="17"/>
  <c r="F270" i="16" s="1"/>
  <c r="F271" i="16" s="1"/>
  <c r="J1256" i="17"/>
  <c r="K1255" i="17"/>
  <c r="F154" i="16" s="1"/>
  <c r="F155" i="16" s="1"/>
  <c r="J970" i="17"/>
  <c r="K969" i="17"/>
  <c r="F115" i="16" s="1"/>
  <c r="F116" i="16" s="1"/>
  <c r="J815" i="17"/>
  <c r="K814" i="17"/>
  <c r="L917" i="17"/>
  <c r="L1479" i="17"/>
  <c r="L2289" i="17"/>
  <c r="L827" i="17"/>
  <c r="L1224" i="17"/>
  <c r="L2478" i="17"/>
  <c r="L1093" i="17"/>
  <c r="L1698" i="17"/>
  <c r="L1500" i="17"/>
  <c r="L1918" i="17"/>
  <c r="L855" i="17"/>
  <c r="L1281" i="17"/>
  <c r="L1350" i="17"/>
  <c r="L1131" i="17"/>
  <c r="L1110" i="17"/>
  <c r="L1336" i="17"/>
  <c r="L1960" i="17"/>
  <c r="L1318" i="17"/>
  <c r="L1427" i="17"/>
  <c r="L2405" i="17"/>
  <c r="L1256" i="17"/>
  <c r="L970" i="17"/>
  <c r="L1186" i="17"/>
  <c r="L2210" i="17"/>
  <c r="L1458" i="17"/>
  <c r="L815" i="17"/>
  <c r="J35" i="17"/>
  <c r="L16" i="17"/>
  <c r="G3" i="16" s="1"/>
  <c r="G1186" i="17"/>
  <c r="H2485" i="17"/>
  <c r="J2484" i="17"/>
  <c r="J2485" i="17"/>
  <c r="G2210" i="17"/>
  <c r="G2485" i="17"/>
  <c r="G5" i="16" l="1"/>
  <c r="K2485" i="17"/>
  <c r="K2486" i="17" s="1"/>
  <c r="F98" i="16"/>
  <c r="L35" i="17"/>
  <c r="J2486" i="17"/>
  <c r="F99" i="16" l="1"/>
  <c r="F282" i="16"/>
  <c r="F283" i="16" s="1"/>
  <c r="X1574" i="26"/>
  <c r="Y1574" i="26"/>
  <c r="X1350" i="26"/>
  <c r="Y1350" i="26"/>
  <c r="X698" i="26"/>
  <c r="Y698" i="26"/>
  <c r="X635" i="26"/>
  <c r="Y1826" i="26" l="1"/>
  <c r="Y115" i="26" s="1"/>
  <c r="Y116" i="26" s="1"/>
  <c r="X1826" i="26"/>
  <c r="V1826" i="26"/>
  <c r="Y1810" i="26"/>
  <c r="Y112" i="26" s="1"/>
  <c r="X1810" i="26"/>
  <c r="V1810" i="26"/>
  <c r="V112" i="26" s="1"/>
  <c r="Y1794" i="26"/>
  <c r="Y111" i="26" s="1"/>
  <c r="X1794" i="26"/>
  <c r="X111" i="26" s="1"/>
  <c r="V1794" i="26"/>
  <c r="V111" i="26" s="1"/>
  <c r="Y1779" i="26"/>
  <c r="X1779" i="26"/>
  <c r="X110" i="26" s="1"/>
  <c r="V1779" i="26"/>
  <c r="V110" i="26" s="1"/>
  <c r="Y1755" i="26"/>
  <c r="Y109" i="26" s="1"/>
  <c r="X1755" i="26"/>
  <c r="X109" i="26" s="1"/>
  <c r="V1755" i="26"/>
  <c r="V109" i="26" s="1"/>
  <c r="Y1740" i="26"/>
  <c r="Y108" i="26" s="1"/>
  <c r="X1740" i="26"/>
  <c r="X108" i="26" s="1"/>
  <c r="V1740" i="26"/>
  <c r="V108" i="26" s="1"/>
  <c r="Y1711" i="26"/>
  <c r="X1711" i="26"/>
  <c r="X105" i="26" s="1"/>
  <c r="V1711" i="26"/>
  <c r="V1689" i="26"/>
  <c r="Y1683" i="26"/>
  <c r="Y104" i="26" s="1"/>
  <c r="X1683" i="26"/>
  <c r="X104" i="26" s="1"/>
  <c r="V1683" i="26"/>
  <c r="Y1656" i="26"/>
  <c r="Y101" i="26" s="1"/>
  <c r="X1656" i="26"/>
  <c r="X101" i="26" s="1"/>
  <c r="Y1646" i="26"/>
  <c r="Y100" i="26" s="1"/>
  <c r="X1646" i="26"/>
  <c r="X100" i="26" s="1"/>
  <c r="Y1636" i="26"/>
  <c r="Y99" i="26" s="1"/>
  <c r="X1636" i="26"/>
  <c r="Y1624" i="26"/>
  <c r="Y98" i="26" s="1"/>
  <c r="X1624" i="26"/>
  <c r="V1616" i="26"/>
  <c r="Y1611" i="26"/>
  <c r="X1611" i="26"/>
  <c r="X97" i="26" s="1"/>
  <c r="Y1564" i="26"/>
  <c r="X1564" i="26"/>
  <c r="X95" i="26" s="1"/>
  <c r="V1564" i="26"/>
  <c r="V95" i="26" s="1"/>
  <c r="Y1550" i="26"/>
  <c r="Y94" i="26" s="1"/>
  <c r="X1550" i="26"/>
  <c r="V1550" i="26"/>
  <c r="Y1545" i="26"/>
  <c r="X1545" i="26"/>
  <c r="X93" i="26" s="1"/>
  <c r="V1545" i="26"/>
  <c r="V1534" i="26"/>
  <c r="V1535" i="26" s="1"/>
  <c r="V1530" i="26"/>
  <c r="V1525" i="26"/>
  <c r="V92" i="26" s="1"/>
  <c r="Y1522" i="26"/>
  <c r="Y1525" i="26" s="1"/>
  <c r="X1522" i="26"/>
  <c r="X1525" i="26" s="1"/>
  <c r="Y1511" i="26"/>
  <c r="X1511" i="26"/>
  <c r="X91" i="26" s="1"/>
  <c r="V1511" i="26"/>
  <c r="Y1467" i="26"/>
  <c r="Y90" i="26" s="1"/>
  <c r="X1467" i="26"/>
  <c r="X90" i="26" s="1"/>
  <c r="V1467" i="26"/>
  <c r="V90" i="26" s="1"/>
  <c r="Y1447" i="26"/>
  <c r="X1447" i="26"/>
  <c r="V1447" i="26"/>
  <c r="V89" i="26" s="1"/>
  <c r="Y1437" i="26"/>
  <c r="X1437" i="26"/>
  <c r="V1437" i="26"/>
  <c r="Y1428" i="26"/>
  <c r="Y88" i="26" s="1"/>
  <c r="X1428" i="26"/>
  <c r="X88" i="26" s="1"/>
  <c r="V1428" i="26"/>
  <c r="V88" i="26" s="1"/>
  <c r="Y1412" i="26"/>
  <c r="X1412" i="26"/>
  <c r="X87" i="26" s="1"/>
  <c r="V1412" i="26"/>
  <c r="V87" i="26" s="1"/>
  <c r="Y1395" i="26"/>
  <c r="X1395" i="26"/>
  <c r="V1395" i="26"/>
  <c r="V86" i="26" s="1"/>
  <c r="Y1381" i="26"/>
  <c r="Y85" i="26" s="1"/>
  <c r="X1381" i="26"/>
  <c r="X85" i="26" s="1"/>
  <c r="V1381" i="26"/>
  <c r="V85" i="26" s="1"/>
  <c r="Y1363" i="26"/>
  <c r="Y84" i="26" s="1"/>
  <c r="X1363" i="26"/>
  <c r="X84" i="26" s="1"/>
  <c r="V1363" i="26"/>
  <c r="V84" i="26" s="1"/>
  <c r="V1350" i="26"/>
  <c r="V83" i="26" s="1"/>
  <c r="Y1325" i="26"/>
  <c r="Y82" i="26" s="1"/>
  <c r="X1325" i="26"/>
  <c r="X82" i="26" s="1"/>
  <c r="V1325" i="26"/>
  <c r="V1304" i="26"/>
  <c r="Y1298" i="26"/>
  <c r="Y77" i="26" s="1"/>
  <c r="X1298" i="26"/>
  <c r="X77" i="26" s="1"/>
  <c r="V1298" i="26"/>
  <c r="V1274" i="26"/>
  <c r="V1269" i="26"/>
  <c r="Y1263" i="26"/>
  <c r="Y76" i="26" s="1"/>
  <c r="X1263" i="26"/>
  <c r="X76" i="26" s="1"/>
  <c r="V1263" i="26"/>
  <c r="V76" i="26" s="1"/>
  <c r="Y1201" i="26"/>
  <c r="Y75" i="26" s="1"/>
  <c r="X1201" i="26"/>
  <c r="X75" i="26" s="1"/>
  <c r="V1201" i="26"/>
  <c r="V75" i="26" s="1"/>
  <c r="Y1167" i="26"/>
  <c r="X1167" i="26"/>
  <c r="X74" i="26" s="1"/>
  <c r="V1167" i="26"/>
  <c r="V74" i="26" s="1"/>
  <c r="Y1139" i="26"/>
  <c r="Y69" i="26" s="1"/>
  <c r="X1139" i="26"/>
  <c r="X69" i="26" s="1"/>
  <c r="V1139" i="26"/>
  <c r="Y1125" i="26"/>
  <c r="Y68" i="26" s="1"/>
  <c r="X1125" i="26"/>
  <c r="X68" i="26" s="1"/>
  <c r="V1125" i="26"/>
  <c r="V68" i="26" s="1"/>
  <c r="Y1095" i="26"/>
  <c r="X1095" i="26"/>
  <c r="X67" i="26" s="1"/>
  <c r="V1095" i="26"/>
  <c r="V67" i="26" s="1"/>
  <c r="Y1069" i="26"/>
  <c r="X1069" i="26"/>
  <c r="X64" i="26" s="1"/>
  <c r="V1069" i="26"/>
  <c r="V64" i="26" s="1"/>
  <c r="Y1054" i="26"/>
  <c r="X1054" i="26"/>
  <c r="V1054" i="26"/>
  <c r="V1026" i="26"/>
  <c r="Y1019" i="26"/>
  <c r="X1019" i="26"/>
  <c r="V1019" i="26"/>
  <c r="V62" i="26" s="1"/>
  <c r="Y985" i="26"/>
  <c r="Y61" i="26" s="1"/>
  <c r="X985" i="26"/>
  <c r="X61" i="26" s="1"/>
  <c r="V985" i="26"/>
  <c r="V61" i="26" s="1"/>
  <c r="Y958" i="26"/>
  <c r="X958" i="26"/>
  <c r="X60" i="26" s="1"/>
  <c r="V958" i="26"/>
  <c r="V60" i="26" s="1"/>
  <c r="Y932" i="26"/>
  <c r="X932" i="26"/>
  <c r="X59" i="26" s="1"/>
  <c r="V932" i="26"/>
  <c r="V59" i="26" s="1"/>
  <c r="V854" i="26"/>
  <c r="Y847" i="26"/>
  <c r="Y58" i="26" s="1"/>
  <c r="X847" i="26"/>
  <c r="X58" i="26" s="1"/>
  <c r="V847" i="26"/>
  <c r="V58" i="26" s="1"/>
  <c r="Y810" i="26"/>
  <c r="Y55" i="26" s="1"/>
  <c r="X810" i="26"/>
  <c r="V810" i="26"/>
  <c r="V55" i="26" s="1"/>
  <c r="X774" i="26"/>
  <c r="X54" i="26" s="1"/>
  <c r="V774" i="26"/>
  <c r="V54" i="26" s="1"/>
  <c r="Y774" i="26"/>
  <c r="Y729" i="26"/>
  <c r="Y53" i="26" s="1"/>
  <c r="X729" i="26"/>
  <c r="X53" i="26" s="1"/>
  <c r="V729" i="26"/>
  <c r="V53" i="26" s="1"/>
  <c r="Y720" i="26"/>
  <c r="X720" i="26"/>
  <c r="V720" i="26"/>
  <c r="V52" i="26" s="1"/>
  <c r="Y708" i="26"/>
  <c r="Y51" i="26" s="1"/>
  <c r="X708" i="26"/>
  <c r="X51" i="26" s="1"/>
  <c r="V708" i="26"/>
  <c r="V51" i="26" s="1"/>
  <c r="V698" i="26"/>
  <c r="V50" i="26" s="1"/>
  <c r="Y682" i="26"/>
  <c r="X682" i="26"/>
  <c r="V682" i="26"/>
  <c r="V49" i="26" s="1"/>
  <c r="V671" i="26"/>
  <c r="X663" i="26"/>
  <c r="X48" i="26" s="1"/>
  <c r="V663" i="26"/>
  <c r="Y651" i="26"/>
  <c r="Y663" i="26" s="1"/>
  <c r="Y48" i="26" s="1"/>
  <c r="V641" i="26"/>
  <c r="Y635" i="26"/>
  <c r="Y47" i="26" s="1"/>
  <c r="V635" i="26"/>
  <c r="V47" i="26" s="1"/>
  <c r="V402" i="26"/>
  <c r="V397" i="26"/>
  <c r="Y388" i="26"/>
  <c r="Y46" i="26" s="1"/>
  <c r="X388" i="26"/>
  <c r="X46" i="26" s="1"/>
  <c r="V388" i="26"/>
  <c r="V46" i="26" s="1"/>
  <c r="Y355" i="26"/>
  <c r="Y40" i="26" s="1"/>
  <c r="X355" i="26"/>
  <c r="X40" i="26" s="1"/>
  <c r="V355" i="26"/>
  <c r="V40" i="26" s="1"/>
  <c r="V349" i="26"/>
  <c r="U339" i="26"/>
  <c r="Y336" i="26"/>
  <c r="X336" i="26"/>
  <c r="X39" i="26" s="1"/>
  <c r="V336" i="26"/>
  <c r="V39" i="26" s="1"/>
  <c r="V298" i="26"/>
  <c r="Y292" i="26"/>
  <c r="X292" i="26"/>
  <c r="X38" i="26" s="1"/>
  <c r="V292" i="26"/>
  <c r="V38" i="26" s="1"/>
  <c r="Y265" i="26"/>
  <c r="Y37" i="26" s="1"/>
  <c r="X265" i="26"/>
  <c r="X37" i="26" s="1"/>
  <c r="V265" i="26"/>
  <c r="V37" i="26" s="1"/>
  <c r="Y242" i="26"/>
  <c r="Y36" i="26" s="1"/>
  <c r="Y7" i="26" s="1"/>
  <c r="X242" i="26"/>
  <c r="X36" i="26" s="1"/>
  <c r="X7" i="26" s="1"/>
  <c r="V242" i="26"/>
  <c r="V224" i="26"/>
  <c r="V220" i="26"/>
  <c r="Y214" i="26"/>
  <c r="Y35" i="26" s="1"/>
  <c r="X214" i="26"/>
  <c r="X35" i="26" s="1"/>
  <c r="V214" i="26"/>
  <c r="V35" i="26" s="1"/>
  <c r="Y196" i="26"/>
  <c r="Y34" i="26" s="1"/>
  <c r="X196" i="26"/>
  <c r="X34" i="26" s="1"/>
  <c r="V196" i="26"/>
  <c r="V34" i="26" s="1"/>
  <c r="V181" i="26"/>
  <c r="V177" i="26"/>
  <c r="Y171" i="26"/>
  <c r="Y33" i="26" s="1"/>
  <c r="X171" i="26"/>
  <c r="X33" i="26" s="1"/>
  <c r="V171" i="26"/>
  <c r="V33" i="26" s="1"/>
  <c r="X115" i="26"/>
  <c r="X116" i="26" s="1"/>
  <c r="X27" i="26" s="1"/>
  <c r="V115" i="26"/>
  <c r="V116" i="26" s="1"/>
  <c r="V27" i="26" s="1"/>
  <c r="X112" i="26"/>
  <c r="Y110" i="26"/>
  <c r="Y105" i="26"/>
  <c r="V105" i="26"/>
  <c r="V104" i="26"/>
  <c r="V101" i="26"/>
  <c r="V100" i="26"/>
  <c r="X99" i="26"/>
  <c r="V99" i="26"/>
  <c r="X98" i="26"/>
  <c r="V98" i="26"/>
  <c r="Y97" i="26"/>
  <c r="V97" i="26"/>
  <c r="Y96" i="26"/>
  <c r="X96" i="26"/>
  <c r="V96" i="26"/>
  <c r="Y95" i="26"/>
  <c r="X94" i="26"/>
  <c r="V94" i="26"/>
  <c r="Y93" i="26"/>
  <c r="V93" i="26"/>
  <c r="Y92" i="26"/>
  <c r="X92" i="26"/>
  <c r="Y91" i="26"/>
  <c r="V91" i="26"/>
  <c r="Y89" i="26"/>
  <c r="X89" i="26"/>
  <c r="Y87" i="26"/>
  <c r="Y86" i="26"/>
  <c r="X86" i="26"/>
  <c r="Y83" i="26"/>
  <c r="X83" i="26"/>
  <c r="V82" i="26"/>
  <c r="V77" i="26"/>
  <c r="Y74" i="26"/>
  <c r="V69" i="26"/>
  <c r="Y67" i="26"/>
  <c r="Y64" i="26"/>
  <c r="Y63" i="26"/>
  <c r="X63" i="26"/>
  <c r="V63" i="26"/>
  <c r="Y62" i="26"/>
  <c r="X62" i="26"/>
  <c r="Y60" i="26"/>
  <c r="Y59" i="26"/>
  <c r="X55" i="26"/>
  <c r="Y54" i="26"/>
  <c r="Y52" i="26"/>
  <c r="X52" i="26"/>
  <c r="Y50" i="26"/>
  <c r="X50" i="26"/>
  <c r="Y49" i="26"/>
  <c r="X49" i="26"/>
  <c r="V48" i="26"/>
  <c r="X47" i="26"/>
  <c r="Y39" i="26"/>
  <c r="Y38" i="26"/>
  <c r="V36" i="26"/>
  <c r="V7" i="26" s="1"/>
  <c r="Y27" i="26"/>
  <c r="M2370" i="17"/>
  <c r="N2370" i="17"/>
  <c r="X19" i="26" l="1"/>
  <c r="V20" i="26"/>
  <c r="Y9" i="26"/>
  <c r="Y8" i="26"/>
  <c r="X6" i="26"/>
  <c r="W1069" i="26"/>
  <c r="W64" i="26" s="1"/>
  <c r="W1201" i="26"/>
  <c r="W75" i="26" s="1"/>
  <c r="W1395" i="26"/>
  <c r="W1447" i="26"/>
  <c r="W985" i="26"/>
  <c r="W61" i="26" s="1"/>
  <c r="W1054" i="26"/>
  <c r="W63" i="26" s="1"/>
  <c r="W1139" i="26"/>
  <c r="W69" i="26" s="1"/>
  <c r="W1167" i="26"/>
  <c r="W74" i="26" s="1"/>
  <c r="W1545" i="26"/>
  <c r="W93" i="26" s="1"/>
  <c r="W1646" i="26"/>
  <c r="W100" i="26" s="1"/>
  <c r="Y106" i="26"/>
  <c r="Y25" i="26" s="1"/>
  <c r="X113" i="26"/>
  <c r="X26" i="26" s="1"/>
  <c r="Y6" i="26"/>
  <c r="X8" i="26"/>
  <c r="V42" i="26"/>
  <c r="V78" i="26"/>
  <c r="X106" i="26"/>
  <c r="X25" i="26" s="1"/>
  <c r="Y113" i="26"/>
  <c r="Y26" i="26" s="1"/>
  <c r="W1412" i="26"/>
  <c r="W1437" i="26"/>
  <c r="W41" i="26" s="1"/>
  <c r="W214" i="26"/>
  <c r="W682" i="26"/>
  <c r="W729" i="26"/>
  <c r="W53" i="26" s="1"/>
  <c r="X20" i="26"/>
  <c r="Y42" i="26"/>
  <c r="X9" i="26"/>
  <c r="X78" i="26"/>
  <c r="Y20" i="26"/>
  <c r="V8" i="26"/>
  <c r="Y78" i="26"/>
  <c r="V106" i="26"/>
  <c r="V25" i="26" s="1"/>
  <c r="X21" i="26"/>
  <c r="V70" i="26"/>
  <c r="V15" i="26" s="1"/>
  <c r="X56" i="26"/>
  <c r="X13" i="26" s="1"/>
  <c r="V65" i="26"/>
  <c r="V14" i="26" s="1"/>
  <c r="X65" i="26"/>
  <c r="X14" i="26" s="1"/>
  <c r="W171" i="26"/>
  <c r="W265" i="26"/>
  <c r="V9" i="26"/>
  <c r="W635" i="26"/>
  <c r="W698" i="26"/>
  <c r="W708" i="26"/>
  <c r="W774" i="26"/>
  <c r="W932" i="26"/>
  <c r="X70" i="26"/>
  <c r="X15" i="26" s="1"/>
  <c r="W1263" i="26"/>
  <c r="W1350" i="26"/>
  <c r="W1428" i="26"/>
  <c r="W88" i="26" s="1"/>
  <c r="W1550" i="26"/>
  <c r="W94" i="26" s="1"/>
  <c r="W1794" i="26"/>
  <c r="V6" i="26"/>
  <c r="Y19" i="26"/>
  <c r="Y21" i="26" s="1"/>
  <c r="X42" i="26"/>
  <c r="V56" i="26"/>
  <c r="V13" i="26" s="1"/>
  <c r="Y56" i="26"/>
  <c r="Y13" i="26" s="1"/>
  <c r="Y65" i="26"/>
  <c r="Y14" i="26" s="1"/>
  <c r="Y70" i="26"/>
  <c r="Y15" i="26" s="1"/>
  <c r="W196" i="26"/>
  <c r="W355" i="26"/>
  <c r="W40" i="26" s="1"/>
  <c r="W720" i="26"/>
  <c r="W810" i="26"/>
  <c r="W55" i="26" s="1"/>
  <c r="W1019" i="26"/>
  <c r="W62" i="26" s="1"/>
  <c r="W1095" i="26"/>
  <c r="W67" i="26" s="1"/>
  <c r="W1298" i="26"/>
  <c r="W77" i="26" s="1"/>
  <c r="W1325" i="26"/>
  <c r="W82" i="26" s="1"/>
  <c r="W1363" i="26"/>
  <c r="W87" i="26"/>
  <c r="W1467" i="26"/>
  <c r="W90" i="26" s="1"/>
  <c r="W1511" i="26"/>
  <c r="W91" i="26" s="1"/>
  <c r="W1525" i="26"/>
  <c r="W1755" i="26"/>
  <c r="W109" i="26" s="1"/>
  <c r="W1810" i="26"/>
  <c r="W112" i="26" s="1"/>
  <c r="V19" i="26"/>
  <c r="V21" i="26" s="1"/>
  <c r="V102" i="26"/>
  <c r="V24" i="26" s="1"/>
  <c r="W336" i="26"/>
  <c r="W1125" i="26"/>
  <c r="W68" i="26" s="1"/>
  <c r="W1779" i="26"/>
  <c r="W110" i="26" s="1"/>
  <c r="W1826" i="26"/>
  <c r="W663" i="26"/>
  <c r="W1564" i="26"/>
  <c r="W95" i="26" s="1"/>
  <c r="W1574" i="26"/>
  <c r="W96" i="26" s="1"/>
  <c r="W1636" i="26"/>
  <c r="W99" i="26" s="1"/>
  <c r="W1740" i="26"/>
  <c r="W108" i="26" s="1"/>
  <c r="W388" i="26"/>
  <c r="X102" i="26"/>
  <c r="X24" i="26" s="1"/>
  <c r="Y102" i="26"/>
  <c r="Y24" i="26" s="1"/>
  <c r="V113" i="26"/>
  <c r="V26" i="26" s="1"/>
  <c r="W1381" i="26"/>
  <c r="W847" i="26"/>
  <c r="W58" i="26" s="1"/>
  <c r="Y28" i="26" l="1"/>
  <c r="X71" i="26"/>
  <c r="Y10" i="26"/>
  <c r="W83" i="26"/>
  <c r="W49" i="26"/>
  <c r="X16" i="26"/>
  <c r="V16" i="26"/>
  <c r="X10" i="26"/>
  <c r="V117" i="26"/>
  <c r="W19" i="26"/>
  <c r="W111" i="26"/>
  <c r="W113" i="26" s="1"/>
  <c r="W26" i="26" s="1"/>
  <c r="X28" i="26"/>
  <c r="Y117" i="26"/>
  <c r="W101" i="26"/>
  <c r="W70" i="26"/>
  <c r="W84" i="26"/>
  <c r="W1683" i="26"/>
  <c r="W104" i="26" s="1"/>
  <c r="W89" i="26"/>
  <c r="W115" i="26"/>
  <c r="V10" i="26"/>
  <c r="W958" i="26"/>
  <c r="W60" i="26" s="1"/>
  <c r="W86" i="26"/>
  <c r="W52" i="26"/>
  <c r="W54" i="26"/>
  <c r="W34" i="26"/>
  <c r="W47" i="26"/>
  <c r="W33" i="26"/>
  <c r="W48" i="26"/>
  <c r="W51" i="26"/>
  <c r="W242" i="26"/>
  <c r="W50" i="26"/>
  <c r="W35" i="26"/>
  <c r="W76" i="26"/>
  <c r="W20" i="26" s="1"/>
  <c r="Y71" i="26"/>
  <c r="V71" i="26"/>
  <c r="V28" i="26"/>
  <c r="V29" i="26" s="1"/>
  <c r="Y16" i="26"/>
  <c r="Y29" i="26" s="1"/>
  <c r="X117" i="26"/>
  <c r="W92" i="26"/>
  <c r="W46" i="26"/>
  <c r="W59" i="26"/>
  <c r="W37" i="26"/>
  <c r="W85" i="26"/>
  <c r="W39" i="26"/>
  <c r="X29" i="26" l="1"/>
  <c r="V118" i="26"/>
  <c r="X118" i="26"/>
  <c r="W21" i="26"/>
  <c r="Y118" i="26"/>
  <c r="W15" i="26"/>
  <c r="W116" i="26"/>
  <c r="W78" i="26"/>
  <c r="W9" i="26"/>
  <c r="W6" i="26"/>
  <c r="W36" i="26"/>
  <c r="W56" i="26"/>
  <c r="W65" i="26"/>
  <c r="W27" i="26" l="1"/>
  <c r="W7" i="26"/>
  <c r="W13" i="26"/>
  <c r="W71" i="26"/>
  <c r="W1611" i="26"/>
  <c r="W97" i="26" s="1"/>
  <c r="W1624" i="26"/>
  <c r="W98" i="26" s="1"/>
  <c r="W14" i="26"/>
  <c r="W16" i="26" l="1"/>
  <c r="W102" i="26"/>
  <c r="W24" i="26" s="1"/>
  <c r="W292" i="26"/>
  <c r="W1711" i="26" l="1"/>
  <c r="W105" i="26" s="1"/>
  <c r="W106" i="26" s="1"/>
  <c r="W38" i="26"/>
  <c r="W25" i="26" l="1"/>
  <c r="W28" i="26" s="1"/>
  <c r="W117" i="26"/>
  <c r="W42" i="26"/>
  <c r="W8" i="26"/>
  <c r="W10" i="26" s="1"/>
  <c r="W29" i="26" l="1"/>
  <c r="W118" i="26"/>
  <c r="M2404" i="17"/>
  <c r="M2344" i="17"/>
  <c r="M2371" i="17" s="1"/>
  <c r="M2288" i="17"/>
  <c r="M2223" i="17"/>
  <c r="M2183" i="17"/>
  <c r="M1917" i="17"/>
  <c r="M1898" i="17"/>
  <c r="M1802" i="17"/>
  <c r="M1612" i="17"/>
  <c r="M1545" i="17"/>
  <c r="M471" i="17"/>
  <c r="M422" i="17"/>
  <c r="M375" i="17"/>
  <c r="M376" i="17" s="1"/>
  <c r="M145" i="17"/>
  <c r="M871" i="17" l="1"/>
  <c r="N871" i="17" s="1"/>
  <c r="L536" i="17"/>
  <c r="L562" i="17"/>
  <c r="L592" i="17"/>
  <c r="L800" i="17"/>
  <c r="L949" i="17"/>
  <c r="L1205" i="17"/>
  <c r="G148" i="16" s="1"/>
  <c r="L2333" i="17"/>
  <c r="L2409" i="17"/>
  <c r="G272" i="16" s="1"/>
  <c r="G274" i="16" l="1"/>
  <c r="G281" i="16"/>
  <c r="G149" i="16"/>
  <c r="G282" i="16"/>
  <c r="L2426" i="17"/>
  <c r="L2484" i="17"/>
  <c r="L1206" i="17"/>
  <c r="L2485" i="17"/>
  <c r="L1546" i="17"/>
  <c r="G283" i="16" l="1"/>
  <c r="L2486" i="17"/>
  <c r="E53" i="16"/>
  <c r="E169" i="16"/>
  <c r="E223" i="16"/>
  <c r="E10" i="16"/>
  <c r="E190" i="16"/>
  <c r="E208" i="16"/>
  <c r="E110" i="16"/>
  <c r="E184" i="16"/>
  <c r="E211" i="16"/>
  <c r="E264" i="16"/>
  <c r="E45" i="16"/>
  <c r="E241" i="16"/>
  <c r="E124" i="16"/>
  <c r="E59" i="16"/>
  <c r="E247" i="16"/>
  <c r="E62" i="16"/>
  <c r="E139" i="16"/>
  <c r="E205" i="16"/>
  <c r="E121" i="16"/>
  <c r="E229" i="16"/>
  <c r="E199" i="16"/>
  <c r="E273" i="16"/>
  <c r="E50" i="16"/>
  <c r="E217" i="16"/>
  <c r="E16" i="16"/>
  <c r="E64" i="16"/>
  <c r="E142" i="16"/>
  <c r="E187" i="16"/>
  <c r="E202" i="16"/>
  <c r="E276" i="16"/>
  <c r="E42" i="16"/>
  <c r="E232" i="16"/>
  <c r="E55" i="16"/>
  <c r="E258" i="16"/>
  <c r="E91" i="16"/>
  <c r="E250" i="16"/>
  <c r="E195" i="16"/>
  <c r="E266" i="16"/>
  <c r="E95" i="16"/>
  <c r="E214" i="16"/>
  <c r="E257" i="16"/>
  <c r="E30" i="16"/>
  <c r="E244" i="16"/>
  <c r="E36" i="16"/>
  <c r="E82" i="16"/>
  <c r="E172" i="16"/>
  <c r="E235" i="16"/>
  <c r="E65" i="16"/>
  <c r="E267" i="16"/>
  <c r="E100" i="16"/>
  <c r="E52" i="16"/>
  <c r="E61" i="16"/>
  <c r="E153" i="16"/>
  <c r="E162" i="16"/>
  <c r="E269" i="16"/>
  <c r="E216" i="16"/>
  <c r="E263" i="16"/>
  <c r="E114" i="16"/>
  <c r="E135" i="16"/>
  <c r="E189" i="16"/>
  <c r="E231" i="16"/>
  <c r="E80" i="16"/>
  <c r="E126" i="16"/>
  <c r="E40" i="16"/>
  <c r="E168" i="16"/>
  <c r="E117" i="16"/>
  <c r="E238" i="16"/>
  <c r="E120" i="16"/>
  <c r="E272" i="16"/>
  <c r="E49" i="16"/>
  <c r="E73" i="16"/>
  <c r="E138" i="16"/>
  <c r="E147" i="16"/>
  <c r="E165" i="16"/>
  <c r="E183" i="16"/>
  <c r="E219" i="16"/>
  <c r="E225" i="16"/>
  <c r="E278" i="16"/>
  <c r="E180" i="16"/>
  <c r="E198" i="16"/>
  <c r="E207" i="16"/>
  <c r="E88" i="16"/>
  <c r="E24" i="16"/>
  <c r="E68" i="16"/>
  <c r="E237" i="16"/>
  <c r="E18" i="16"/>
  <c r="E118" i="16"/>
  <c r="E252" i="16"/>
  <c r="E33" i="16"/>
  <c r="E196" i="16"/>
  <c r="E103" i="16"/>
  <c r="E58" i="16"/>
  <c r="E97" i="16"/>
  <c r="E132" i="16"/>
  <c r="E156" i="16"/>
  <c r="E240" i="16"/>
  <c r="E275" i="16"/>
  <c r="E260" i="16"/>
  <c r="E109" i="16"/>
  <c r="E123" i="16"/>
  <c r="E186" i="16"/>
  <c r="E228" i="16"/>
  <c r="E249" i="16"/>
  <c r="E127" i="16"/>
  <c r="E39" i="16"/>
  <c r="E107" i="16"/>
  <c r="E27" i="16"/>
  <c r="E94" i="16"/>
  <c r="E243" i="16"/>
  <c r="E25" i="16"/>
  <c r="E31" i="16"/>
  <c r="E67" i="16"/>
  <c r="E159" i="16"/>
  <c r="E234" i="16"/>
  <c r="E44" i="16"/>
  <c r="E70" i="16"/>
  <c r="E85" i="16"/>
  <c r="E141" i="16"/>
  <c r="E150" i="16"/>
  <c r="E177" i="16"/>
  <c r="E204" i="16"/>
  <c r="E222" i="16"/>
  <c r="E246" i="16"/>
  <c r="E129" i="16"/>
  <c r="E192" i="16"/>
  <c r="E201" i="16"/>
  <c r="E210" i="16"/>
  <c r="E9" i="16"/>
  <c r="E6" i="16"/>
  <c r="E4" i="16"/>
  <c r="E12" i="16"/>
  <c r="E7" i="16"/>
  <c r="F68" i="24"/>
  <c r="F69" i="24" s="1"/>
  <c r="E33" i="1"/>
  <c r="E34" i="1" s="1"/>
  <c r="E79" i="16" l="1"/>
  <c r="F26" i="24"/>
  <c r="G548" i="15"/>
  <c r="G575" i="15" s="1"/>
  <c r="E81" i="3"/>
  <c r="M573" i="17"/>
  <c r="N573" i="17" l="1"/>
  <c r="E57" i="3"/>
  <c r="E151" i="16" l="1"/>
  <c r="E79" i="3"/>
  <c r="E80" i="3"/>
  <c r="E56" i="3"/>
  <c r="F93" i="24"/>
  <c r="E20" i="3"/>
  <c r="E21" i="3"/>
  <c r="G542" i="15" l="1"/>
  <c r="G543" i="15" s="1"/>
  <c r="G57" i="15"/>
  <c r="M1297" i="17" l="1"/>
  <c r="N1297" i="17" s="1"/>
  <c r="M1296" i="17"/>
  <c r="N1296" i="17" s="1"/>
  <c r="M1262" i="17"/>
  <c r="N1262" i="17" s="1"/>
  <c r="M1261" i="17"/>
  <c r="N1261" i="17" s="1"/>
  <c r="M1231" i="17"/>
  <c r="N1231" i="17" s="1"/>
  <c r="M1230" i="17"/>
  <c r="N1230" i="17" s="1"/>
  <c r="E19" i="16" l="1"/>
  <c r="N1317" i="17"/>
  <c r="N1280" i="17"/>
  <c r="M1280" i="17"/>
  <c r="M1317" i="17"/>
  <c r="M2436" i="17"/>
  <c r="M2443" i="17" s="1"/>
  <c r="M173" i="17"/>
  <c r="N173" i="17" s="1"/>
  <c r="M914" i="17"/>
  <c r="M1420" i="17"/>
  <c r="N1420" i="17" s="1"/>
  <c r="M275" i="17"/>
  <c r="N275" i="17" s="1"/>
  <c r="M2186" i="17"/>
  <c r="N2186" i="17" s="1"/>
  <c r="M2408" i="17"/>
  <c r="N2408" i="17" s="1"/>
  <c r="N914" i="17" l="1"/>
  <c r="N916" i="17" s="1"/>
  <c r="M916" i="17"/>
  <c r="M2200" i="17"/>
  <c r="N2200" i="17" s="1"/>
  <c r="N2209" i="17" s="1"/>
  <c r="M852" i="17"/>
  <c r="N276" i="17"/>
  <c r="M276" i="17"/>
  <c r="N2436" i="17"/>
  <c r="N2443" i="17" s="1"/>
  <c r="D11" i="5"/>
  <c r="D69" i="24"/>
  <c r="C69" i="24"/>
  <c r="D42" i="3"/>
  <c r="D34" i="1"/>
  <c r="E104" i="16" l="1"/>
  <c r="E136" i="16"/>
  <c r="E220" i="16"/>
  <c r="E148" i="16"/>
  <c r="M2209" i="17"/>
  <c r="N1129" i="17"/>
  <c r="N1128" i="17"/>
  <c r="E255" i="16" l="1"/>
  <c r="E65" i="14"/>
  <c r="E44" i="14" l="1"/>
  <c r="E32" i="14"/>
  <c r="E18" i="14"/>
  <c r="E8" i="14"/>
  <c r="G26" i="15"/>
  <c r="G27" i="15"/>
  <c r="G28" i="15"/>
  <c r="G29" i="15"/>
  <c r="G30" i="15"/>
  <c r="G25" i="15"/>
  <c r="E43" i="14"/>
  <c r="G736" i="15"/>
  <c r="G737" i="15"/>
  <c r="G738" i="15"/>
  <c r="G739" i="15"/>
  <c r="G740" i="15"/>
  <c r="G741" i="15"/>
  <c r="G735" i="15"/>
  <c r="G22" i="15"/>
  <c r="E4" i="14" s="1"/>
  <c r="G34" i="15"/>
  <c r="G36" i="15" s="1"/>
  <c r="E6" i="14" s="1"/>
  <c r="G39" i="15"/>
  <c r="G41" i="15"/>
  <c r="G43" i="15"/>
  <c r="G61" i="15"/>
  <c r="E9" i="14" s="1"/>
  <c r="G68" i="15"/>
  <c r="E10" i="14" s="1"/>
  <c r="G73" i="15"/>
  <c r="E11" i="14" s="1"/>
  <c r="G79" i="15"/>
  <c r="E12" i="14" s="1"/>
  <c r="G100" i="15"/>
  <c r="E13" i="14" s="1"/>
  <c r="G109" i="15"/>
  <c r="E14" i="14" s="1"/>
  <c r="G114" i="15"/>
  <c r="G116" i="15" s="1"/>
  <c r="E15" i="14" s="1"/>
  <c r="G124" i="15"/>
  <c r="G127" i="15"/>
  <c r="E16" i="14" s="1"/>
  <c r="G145" i="15"/>
  <c r="E17" i="14" s="1"/>
  <c r="G186" i="15"/>
  <c r="G197" i="15" s="1"/>
  <c r="E19" i="14" s="1"/>
  <c r="G222" i="15"/>
  <c r="G225" i="15" s="1"/>
  <c r="E20" i="14" s="1"/>
  <c r="G231" i="15"/>
  <c r="E21" i="14" s="1"/>
  <c r="G235" i="15"/>
  <c r="G237" i="15"/>
  <c r="E22" i="14" s="1"/>
  <c r="G240" i="15"/>
  <c r="G241" i="15" s="1"/>
  <c r="E23" i="14" s="1"/>
  <c r="G245" i="15"/>
  <c r="G246" i="15" s="1"/>
  <c r="E24" i="14" s="1"/>
  <c r="G261" i="15"/>
  <c r="E25" i="14" s="1"/>
  <c r="G269" i="15"/>
  <c r="G277" i="15" s="1"/>
  <c r="E26" i="14" s="1"/>
  <c r="G286" i="15"/>
  <c r="G294" i="15"/>
  <c r="E27" i="14" s="1"/>
  <c r="G310" i="15"/>
  <c r="E28" i="14" s="1"/>
  <c r="G325" i="15"/>
  <c r="E29" i="14" s="1"/>
  <c r="G334" i="15"/>
  <c r="G341" i="15"/>
  <c r="E30" i="14" s="1"/>
  <c r="G356" i="15"/>
  <c r="E31" i="14" s="1"/>
  <c r="G378" i="15"/>
  <c r="G389" i="15" s="1"/>
  <c r="E33" i="14" s="1"/>
  <c r="G406" i="15"/>
  <c r="E34" i="14" s="1"/>
  <c r="G422" i="15"/>
  <c r="E35" i="14" s="1"/>
  <c r="G438" i="15"/>
  <c r="E36" i="14" s="1"/>
  <c r="G445" i="15"/>
  <c r="G457" i="15" s="1"/>
  <c r="E37" i="14" s="1"/>
  <c r="G460" i="15"/>
  <c r="G473" i="15" s="1"/>
  <c r="E38" i="14" s="1"/>
  <c r="G476" i="15"/>
  <c r="G481" i="15"/>
  <c r="G505" i="15"/>
  <c r="E40" i="14" s="1"/>
  <c r="G513" i="15"/>
  <c r="E41" i="14" s="1"/>
  <c r="G518" i="15"/>
  <c r="G526" i="15" s="1"/>
  <c r="E42" i="14" s="1"/>
  <c r="G599" i="15"/>
  <c r="E45" i="14" s="1"/>
  <c r="G606" i="15"/>
  <c r="G619" i="15"/>
  <c r="G643" i="15"/>
  <c r="E47" i="14" s="1"/>
  <c r="G675" i="15"/>
  <c r="E48" i="14" s="1"/>
  <c r="G681" i="15"/>
  <c r="E49" i="14" s="1"/>
  <c r="G686" i="15"/>
  <c r="E50" i="14" s="1"/>
  <c r="G691" i="15"/>
  <c r="E51" i="14" s="1"/>
  <c r="G696" i="15"/>
  <c r="G698" i="15" s="1"/>
  <c r="E52" i="14" s="1"/>
  <c r="G702" i="15"/>
  <c r="E53" i="14" s="1"/>
  <c r="G705" i="15"/>
  <c r="G706" i="15"/>
  <c r="G725" i="15"/>
  <c r="E55" i="14" s="1"/>
  <c r="G728" i="15"/>
  <c r="G732" i="15" s="1"/>
  <c r="E56" i="14" s="1"/>
  <c r="G752" i="15"/>
  <c r="E58" i="14" s="1"/>
  <c r="G757" i="15"/>
  <c r="E59" i="14" s="1"/>
  <c r="G766" i="15"/>
  <c r="G767" i="15" s="1"/>
  <c r="E60" i="14" s="1"/>
  <c r="G776" i="15"/>
  <c r="E61" i="14" s="1"/>
  <c r="G781" i="15"/>
  <c r="G783" i="15" s="1"/>
  <c r="E62" i="14" s="1"/>
  <c r="G790" i="15"/>
  <c r="E63" i="14" s="1"/>
  <c r="D58" i="3"/>
  <c r="D93" i="24"/>
  <c r="C93" i="24"/>
  <c r="E139" i="24"/>
  <c r="E10" i="24" s="1"/>
  <c r="E129" i="24"/>
  <c r="E9" i="24" s="1"/>
  <c r="E93" i="24"/>
  <c r="E8" i="24" s="1"/>
  <c r="E69" i="24"/>
  <c r="E51" i="24"/>
  <c r="E6" i="24" s="1"/>
  <c r="E37" i="24"/>
  <c r="E5" i="24" s="1"/>
  <c r="E26" i="24"/>
  <c r="E4" i="24" s="1"/>
  <c r="E7" i="24"/>
  <c r="G707" i="15" l="1"/>
  <c r="E54" i="14" s="1"/>
  <c r="G625" i="15"/>
  <c r="E46" i="14" s="1"/>
  <c r="G49" i="15"/>
  <c r="E7" i="14" s="1"/>
  <c r="G489" i="15"/>
  <c r="E39" i="14" s="1"/>
  <c r="G31" i="15"/>
  <c r="E5" i="14" s="1"/>
  <c r="G742" i="15"/>
  <c r="E57" i="14" s="1"/>
  <c r="E144" i="24"/>
  <c r="E11" i="24"/>
  <c r="E6" i="3"/>
  <c r="D4" i="5" s="1"/>
  <c r="G791" i="15" l="1"/>
  <c r="G794" i="15" s="1"/>
  <c r="E64" i="14"/>
  <c r="E67" i="14" s="1"/>
  <c r="F139" i="24"/>
  <c r="D139" i="24"/>
  <c r="D10" i="24" s="1"/>
  <c r="C139" i="24"/>
  <c r="C10" i="24" s="1"/>
  <c r="F9" i="24"/>
  <c r="D129" i="24"/>
  <c r="C129" i="24"/>
  <c r="C9" i="24" s="1"/>
  <c r="F7" i="24"/>
  <c r="C7" i="24"/>
  <c r="F51" i="24"/>
  <c r="F6" i="24" s="1"/>
  <c r="D51" i="24"/>
  <c r="D6" i="24" s="1"/>
  <c r="C51" i="24"/>
  <c r="C6" i="24" s="1"/>
  <c r="F37" i="24"/>
  <c r="D37" i="24"/>
  <c r="D5" i="24" s="1"/>
  <c r="C37" i="24"/>
  <c r="C5" i="24" s="1"/>
  <c r="F4" i="24"/>
  <c r="D26" i="24"/>
  <c r="D4" i="24" s="1"/>
  <c r="C26" i="24"/>
  <c r="C4" i="24" s="1"/>
  <c r="D9" i="24"/>
  <c r="F8" i="24"/>
  <c r="D8" i="24"/>
  <c r="C8" i="24"/>
  <c r="D7" i="24"/>
  <c r="D11" i="24" l="1"/>
  <c r="C11" i="24"/>
  <c r="F144" i="24"/>
  <c r="C144" i="24"/>
  <c r="F5" i="24"/>
  <c r="F11" i="24" s="1"/>
  <c r="D144" i="24"/>
  <c r="D29" i="3"/>
  <c r="D21" i="1"/>
  <c r="D83" i="3" l="1"/>
  <c r="D75" i="1"/>
  <c r="E41" i="3" l="1"/>
  <c r="B271" i="16" l="1"/>
  <c r="A278" i="16" l="1"/>
  <c r="A275" i="16"/>
  <c r="A269" i="16"/>
  <c r="A266" i="16"/>
  <c r="A263" i="16"/>
  <c r="A260" i="16"/>
  <c r="A257" i="16"/>
  <c r="A254" i="16"/>
  <c r="A252" i="16"/>
  <c r="A249" i="16"/>
  <c r="A246" i="16"/>
  <c r="A243" i="16"/>
  <c r="A240" i="16"/>
  <c r="A237" i="16"/>
  <c r="A234" i="16"/>
  <c r="A231" i="16"/>
  <c r="A228" i="16"/>
  <c r="A222" i="16"/>
  <c r="A219" i="16"/>
  <c r="A216" i="16"/>
  <c r="A213" i="16"/>
  <c r="A210" i="16"/>
  <c r="A207" i="16"/>
  <c r="A204" i="16"/>
  <c r="A201" i="16"/>
  <c r="A198" i="16"/>
  <c r="A195" i="16"/>
  <c r="A192" i="16"/>
  <c r="A189" i="16"/>
  <c r="A186" i="16"/>
  <c r="A183" i="16"/>
  <c r="A180" i="16"/>
  <c r="A177" i="16"/>
  <c r="A174" i="16"/>
  <c r="A171" i="16"/>
  <c r="A168" i="16"/>
  <c r="A165" i="16"/>
  <c r="A162" i="16"/>
  <c r="A159" i="16"/>
  <c r="A156" i="16"/>
  <c r="A153" i="16"/>
  <c r="A150" i="16"/>
  <c r="A147" i="16"/>
  <c r="A144" i="16"/>
  <c r="A141" i="16"/>
  <c r="A138" i="16"/>
  <c r="A135" i="16"/>
  <c r="A132" i="16"/>
  <c r="A129" i="16"/>
  <c r="A126" i="16"/>
  <c r="A123" i="16"/>
  <c r="A120" i="16"/>
  <c r="A117" i="16"/>
  <c r="A114" i="16"/>
  <c r="A109" i="16"/>
  <c r="A106" i="16"/>
  <c r="A103" i="16"/>
  <c r="A100" i="16"/>
  <c r="A91" i="16"/>
  <c r="A97" i="16"/>
  <c r="A85" i="16"/>
  <c r="A79" i="16"/>
  <c r="A73" i="16"/>
  <c r="A67" i="16"/>
  <c r="A58" i="16"/>
  <c r="A42" i="16"/>
  <c r="A39" i="16"/>
  <c r="A30" i="16"/>
  <c r="A18" i="16"/>
  <c r="A15" i="16"/>
  <c r="A12" i="16"/>
  <c r="A9" i="16"/>
  <c r="A6" i="16"/>
  <c r="N218" i="17" l="1"/>
  <c r="M211" i="17"/>
  <c r="N211" i="17" s="1"/>
  <c r="M212" i="17"/>
  <c r="N212" i="17" s="1"/>
  <c r="M213" i="17"/>
  <c r="N213" i="17" s="1"/>
  <c r="M214" i="17"/>
  <c r="N214" i="17" s="1"/>
  <c r="M215" i="17"/>
  <c r="N215" i="17" s="1"/>
  <c r="M216" i="17"/>
  <c r="N216" i="17" s="1"/>
  <c r="M217" i="17"/>
  <c r="N217" i="17" s="1"/>
  <c r="M210" i="17"/>
  <c r="N210" i="17" s="1"/>
  <c r="M219" i="17" l="1"/>
  <c r="N219" i="17" s="1"/>
  <c r="I27" i="16" s="1"/>
  <c r="E89" i="16" l="1"/>
  <c r="H27" i="16"/>
  <c r="B278" i="16"/>
  <c r="B275" i="16"/>
  <c r="B269" i="16"/>
  <c r="B266" i="16"/>
  <c r="B263" i="16"/>
  <c r="B260" i="16"/>
  <c r="B257" i="16"/>
  <c r="B254" i="16"/>
  <c r="B252" i="16"/>
  <c r="B249" i="16"/>
  <c r="B246" i="16"/>
  <c r="B243" i="16"/>
  <c r="B240" i="16"/>
  <c r="B237" i="16"/>
  <c r="B234" i="16"/>
  <c r="B231" i="16"/>
  <c r="B228" i="16"/>
  <c r="B225" i="16"/>
  <c r="B222" i="16"/>
  <c r="B219" i="16"/>
  <c r="B216" i="16"/>
  <c r="B213" i="16"/>
  <c r="B210" i="16"/>
  <c r="B207" i="16"/>
  <c r="B204" i="16"/>
  <c r="B201" i="16"/>
  <c r="B198" i="16"/>
  <c r="B195" i="16"/>
  <c r="B192" i="16"/>
  <c r="B189" i="16"/>
  <c r="B186" i="16"/>
  <c r="B183" i="16"/>
  <c r="B180" i="16"/>
  <c r="B177" i="16"/>
  <c r="B174" i="16"/>
  <c r="B171" i="16"/>
  <c r="B168" i="16"/>
  <c r="B165" i="16"/>
  <c r="B162" i="16"/>
  <c r="B159" i="16"/>
  <c r="B156" i="16"/>
  <c r="B153" i="16"/>
  <c r="B150" i="16"/>
  <c r="B147" i="16"/>
  <c r="B144" i="16"/>
  <c r="B141" i="16"/>
  <c r="B138" i="16"/>
  <c r="B135" i="16"/>
  <c r="B132" i="16"/>
  <c r="B129" i="16"/>
  <c r="B126" i="16"/>
  <c r="B123" i="16"/>
  <c r="B122" i="16"/>
  <c r="B120" i="16"/>
  <c r="B117" i="16"/>
  <c r="B114" i="16"/>
  <c r="B106" i="16"/>
  <c r="B97" i="16"/>
  <c r="B91" i="16"/>
  <c r="B88" i="16"/>
  <c r="B85" i="16"/>
  <c r="B79" i="16"/>
  <c r="B73" i="16"/>
  <c r="B67" i="16"/>
  <c r="B61" i="16"/>
  <c r="B58" i="16"/>
  <c r="B47" i="16"/>
  <c r="B24" i="16"/>
  <c r="B18" i="16"/>
  <c r="B15" i="16"/>
  <c r="B12" i="16"/>
  <c r="B9" i="16"/>
  <c r="B6" i="16" l="1"/>
  <c r="B3" i="16"/>
  <c r="F219" i="17"/>
  <c r="M2446" i="17" l="1"/>
  <c r="N2446" i="17" s="1"/>
  <c r="M2428" i="17"/>
  <c r="N2428" i="17" s="1"/>
  <c r="M2411" i="17"/>
  <c r="N2411" i="17" s="1"/>
  <c r="M2412" i="17"/>
  <c r="N2412" i="17" s="1"/>
  <c r="M2413" i="17"/>
  <c r="N2413" i="17" s="1"/>
  <c r="M2414" i="17"/>
  <c r="N2414" i="17" s="1"/>
  <c r="M2415" i="17"/>
  <c r="N2415" i="17" s="1"/>
  <c r="M2416" i="17"/>
  <c r="N2416" i="17" s="1"/>
  <c r="M2417" i="17"/>
  <c r="N2417" i="17" s="1"/>
  <c r="M2418" i="17"/>
  <c r="N2418" i="17" s="1"/>
  <c r="M2419" i="17"/>
  <c r="N2419" i="17" s="1"/>
  <c r="M2420" i="17"/>
  <c r="N2420" i="17" s="1"/>
  <c r="M2421" i="17"/>
  <c r="N2421" i="17" s="1"/>
  <c r="M2422" i="17"/>
  <c r="N2422" i="17" s="1"/>
  <c r="M2423" i="17"/>
  <c r="N2423" i="17" s="1"/>
  <c r="M2424" i="17"/>
  <c r="N2424" i="17" s="1"/>
  <c r="M2410" i="17"/>
  <c r="N2410" i="17" s="1"/>
  <c r="M2407" i="17"/>
  <c r="M2294" i="17"/>
  <c r="N2294" i="17" s="1"/>
  <c r="M2295" i="17"/>
  <c r="N2295" i="17" s="1"/>
  <c r="M2296" i="17"/>
  <c r="N2296" i="17" s="1"/>
  <c r="M2297" i="17"/>
  <c r="N2297" i="17" s="1"/>
  <c r="M2298" i="17"/>
  <c r="N2298" i="17" s="1"/>
  <c r="M2299" i="17"/>
  <c r="N2299" i="17" s="1"/>
  <c r="M2300" i="17"/>
  <c r="N2300" i="17" s="1"/>
  <c r="M2301" i="17"/>
  <c r="N2301" i="17" s="1"/>
  <c r="M2302" i="17"/>
  <c r="N2302" i="17" s="1"/>
  <c r="M2303" i="17"/>
  <c r="N2303" i="17" s="1"/>
  <c r="M2304" i="17"/>
  <c r="N2304" i="17" s="1"/>
  <c r="M2305" i="17"/>
  <c r="N2305" i="17" s="1"/>
  <c r="M2306" i="17"/>
  <c r="N2306" i="17" s="1"/>
  <c r="M2307" i="17"/>
  <c r="N2307" i="17" s="1"/>
  <c r="M2308" i="17"/>
  <c r="N2308" i="17" s="1"/>
  <c r="M2309" i="17"/>
  <c r="N2309" i="17" s="1"/>
  <c r="M2310" i="17"/>
  <c r="N2310" i="17" s="1"/>
  <c r="M2311" i="17"/>
  <c r="N2311" i="17" s="1"/>
  <c r="M2312" i="17"/>
  <c r="N2312" i="17" s="1"/>
  <c r="M2313" i="17"/>
  <c r="N2313" i="17" s="1"/>
  <c r="M2314" i="17"/>
  <c r="N2314" i="17" s="1"/>
  <c r="M2315" i="17"/>
  <c r="N2315" i="17" s="1"/>
  <c r="M2316" i="17"/>
  <c r="N2316" i="17" s="1"/>
  <c r="M2317" i="17"/>
  <c r="N2317" i="17" s="1"/>
  <c r="M2318" i="17"/>
  <c r="N2318" i="17" s="1"/>
  <c r="M2319" i="17"/>
  <c r="N2319" i="17" s="1"/>
  <c r="M2320" i="17"/>
  <c r="N2320" i="17" s="1"/>
  <c r="M2321" i="17"/>
  <c r="N2321" i="17" s="1"/>
  <c r="M2322" i="17"/>
  <c r="N2322" i="17" s="1"/>
  <c r="M2323" i="17"/>
  <c r="N2323" i="17" s="1"/>
  <c r="M2324" i="17"/>
  <c r="N2324" i="17" s="1"/>
  <c r="M2325" i="17"/>
  <c r="N2325" i="17" s="1"/>
  <c r="M2326" i="17"/>
  <c r="N2326" i="17" s="1"/>
  <c r="M2327" i="17"/>
  <c r="N2327" i="17" s="1"/>
  <c r="M2328" i="17"/>
  <c r="N2328" i="17" s="1"/>
  <c r="M2329" i="17"/>
  <c r="N2329" i="17" s="1"/>
  <c r="M2330" i="17"/>
  <c r="N2330" i="17" s="1"/>
  <c r="M2293" i="17"/>
  <c r="M2291" i="17"/>
  <c r="N2291" i="17" s="1"/>
  <c r="N2288" i="17"/>
  <c r="I261" i="16" s="1"/>
  <c r="H261" i="16"/>
  <c r="M2241" i="17"/>
  <c r="H255" i="16"/>
  <c r="I255" i="16"/>
  <c r="M2148" i="17"/>
  <c r="N2148" i="17" s="1"/>
  <c r="M2143" i="17"/>
  <c r="N2143" i="17" s="1"/>
  <c r="M2061" i="17"/>
  <c r="N2061" i="17" s="1"/>
  <c r="M2035" i="17"/>
  <c r="N2035" i="17" s="1"/>
  <c r="M2036" i="17"/>
  <c r="N2036" i="17" s="1"/>
  <c r="M2037" i="17"/>
  <c r="N2037" i="17" s="1"/>
  <c r="M2038" i="17"/>
  <c r="N2038" i="17" s="1"/>
  <c r="M2039" i="17"/>
  <c r="N2039" i="17" s="1"/>
  <c r="M2040" i="17"/>
  <c r="N2040" i="17" s="1"/>
  <c r="M2041" i="17"/>
  <c r="N2041" i="17" s="1"/>
  <c r="M2042" i="17"/>
  <c r="N2042" i="17" s="1"/>
  <c r="M2043" i="17"/>
  <c r="N2043" i="17" s="1"/>
  <c r="M2034" i="17"/>
  <c r="N2034" i="17" s="1"/>
  <c r="N2031" i="17"/>
  <c r="I235" i="16" s="1"/>
  <c r="M2031" i="17"/>
  <c r="H235" i="16" s="1"/>
  <c r="M1981" i="17"/>
  <c r="N1978" i="17"/>
  <c r="I229" i="16" s="1"/>
  <c r="M1978" i="17"/>
  <c r="H229" i="16" s="1"/>
  <c r="M1962" i="17"/>
  <c r="N1962" i="17" s="1"/>
  <c r="M1946" i="17"/>
  <c r="N1946" i="17" s="1"/>
  <c r="M1947" i="17"/>
  <c r="N1947" i="17" s="1"/>
  <c r="M1949" i="17"/>
  <c r="N1949" i="17" s="1"/>
  <c r="M1950" i="17"/>
  <c r="N1950" i="17" s="1"/>
  <c r="M1951" i="17"/>
  <c r="N1951" i="17" s="1"/>
  <c r="M1952" i="17"/>
  <c r="N1952" i="17" s="1"/>
  <c r="M1953" i="17"/>
  <c r="N1953" i="17" s="1"/>
  <c r="M1954" i="17"/>
  <c r="N1954" i="17" s="1"/>
  <c r="M1955" i="17"/>
  <c r="N1955" i="17" s="1"/>
  <c r="M1956" i="17"/>
  <c r="N1956" i="17" s="1"/>
  <c r="M1957" i="17"/>
  <c r="N1957" i="17" s="1"/>
  <c r="M1958" i="17"/>
  <c r="N1958" i="17" s="1"/>
  <c r="M1945" i="17"/>
  <c r="M1943" i="17"/>
  <c r="N1943" i="17" s="1"/>
  <c r="M1940" i="17"/>
  <c r="H223" i="16" s="1"/>
  <c r="N1940" i="17"/>
  <c r="I223" i="16" s="1"/>
  <c r="M1920" i="17"/>
  <c r="N1920" i="17" s="1"/>
  <c r="M1901" i="17"/>
  <c r="N1901" i="17" s="1"/>
  <c r="M1877" i="17"/>
  <c r="N1877" i="17" s="1"/>
  <c r="N1874" i="17"/>
  <c r="I214" i="16" s="1"/>
  <c r="M1874" i="17"/>
  <c r="H214" i="16" s="1"/>
  <c r="M1851" i="17"/>
  <c r="N1851" i="17" s="1"/>
  <c r="M1852" i="17"/>
  <c r="N1852" i="17" s="1"/>
  <c r="M1853" i="17"/>
  <c r="N1853" i="17" s="1"/>
  <c r="M1854" i="17"/>
  <c r="N1854" i="17" s="1"/>
  <c r="M1855" i="17"/>
  <c r="N1855" i="17" s="1"/>
  <c r="M1856" i="17"/>
  <c r="N1856" i="17" s="1"/>
  <c r="M1857" i="17"/>
  <c r="N1857" i="17" s="1"/>
  <c r="M1858" i="17"/>
  <c r="N1858" i="17" s="1"/>
  <c r="M1850" i="17"/>
  <c r="N1850" i="17" s="1"/>
  <c r="M1832" i="17"/>
  <c r="N1832" i="17" s="1"/>
  <c r="M1805" i="17"/>
  <c r="N1805" i="17" s="1"/>
  <c r="N1802" i="17"/>
  <c r="I205" i="16" s="1"/>
  <c r="H205" i="16"/>
  <c r="M1785" i="17"/>
  <c r="N1785" i="17" s="1"/>
  <c r="M1755" i="17"/>
  <c r="N1755" i="17" s="1"/>
  <c r="M1736" i="17"/>
  <c r="N1736" i="17" s="1"/>
  <c r="N1733" i="17"/>
  <c r="I196" i="16" s="1"/>
  <c r="M1733" i="17"/>
  <c r="H196" i="16" s="1"/>
  <c r="M1712" i="17"/>
  <c r="H195" i="16" s="1"/>
  <c r="N1701" i="17"/>
  <c r="N1702" i="17"/>
  <c r="N1703" i="17"/>
  <c r="N1704" i="17"/>
  <c r="N1705" i="17"/>
  <c r="N1706" i="17"/>
  <c r="N1707" i="17"/>
  <c r="N1708" i="17"/>
  <c r="N1709" i="17"/>
  <c r="N1710" i="17"/>
  <c r="N1711" i="17"/>
  <c r="N1700" i="17"/>
  <c r="M1691" i="17"/>
  <c r="N1691" i="17" s="1"/>
  <c r="M1668" i="17"/>
  <c r="N1668" i="17" s="1"/>
  <c r="N1665" i="17"/>
  <c r="I190" i="16" s="1"/>
  <c r="M1665" i="17"/>
  <c r="H190" i="16" s="1"/>
  <c r="M1615" i="17"/>
  <c r="M1548" i="17"/>
  <c r="M1502" i="17"/>
  <c r="N1502" i="17" s="1"/>
  <c r="M1495" i="17"/>
  <c r="N1495" i="17" s="1"/>
  <c r="M1481" i="17"/>
  <c r="M1482" i="17" s="1"/>
  <c r="H180" i="16" s="1"/>
  <c r="M1460" i="17"/>
  <c r="N1460" i="17" s="1"/>
  <c r="N1430" i="17"/>
  <c r="N1431" i="17"/>
  <c r="N1432" i="17"/>
  <c r="N1433" i="17"/>
  <c r="N1434" i="17"/>
  <c r="N1435" i="17"/>
  <c r="N1436" i="17"/>
  <c r="N1437" i="17"/>
  <c r="N1438" i="17"/>
  <c r="N1429" i="17"/>
  <c r="M1385" i="17"/>
  <c r="N1385" i="17" s="1"/>
  <c r="M1386" i="17"/>
  <c r="N1386" i="17" s="1"/>
  <c r="M1387" i="17"/>
  <c r="N1387" i="17" s="1"/>
  <c r="M1388" i="17"/>
  <c r="N1388" i="17" s="1"/>
  <c r="M1389" i="17"/>
  <c r="N1389" i="17" s="1"/>
  <c r="M1390" i="17"/>
  <c r="N1390" i="17" s="1"/>
  <c r="M1391" i="17"/>
  <c r="N1391" i="17" s="1"/>
  <c r="M1392" i="17"/>
  <c r="N1392" i="17" s="1"/>
  <c r="M1393" i="17"/>
  <c r="N1393" i="17" s="1"/>
  <c r="M1394" i="17"/>
  <c r="N1394" i="17" s="1"/>
  <c r="M1395" i="17"/>
  <c r="N1395" i="17" s="1"/>
  <c r="M1384" i="17"/>
  <c r="N1384" i="17" s="1"/>
  <c r="M1341" i="17"/>
  <c r="N1341" i="17" s="1"/>
  <c r="M1342" i="17"/>
  <c r="N1342" i="17" s="1"/>
  <c r="M1343" i="17"/>
  <c r="N1343" i="17" s="1"/>
  <c r="M1344" i="17"/>
  <c r="N1344" i="17" s="1"/>
  <c r="M1345" i="17"/>
  <c r="N1345" i="17" s="1"/>
  <c r="M1346" i="17"/>
  <c r="N1346" i="17" s="1"/>
  <c r="M1347" i="17"/>
  <c r="N1347" i="17" s="1"/>
  <c r="M1348" i="17"/>
  <c r="N1348" i="17" s="1"/>
  <c r="M1338" i="17"/>
  <c r="N1338" i="17" s="1"/>
  <c r="N1335" i="17"/>
  <c r="I163" i="16" s="1"/>
  <c r="M1335" i="17"/>
  <c r="H163" i="16" s="1"/>
  <c r="M1320" i="17"/>
  <c r="N1320" i="17" s="1"/>
  <c r="I160" i="16"/>
  <c r="H160" i="16"/>
  <c r="I157" i="16"/>
  <c r="H157" i="16"/>
  <c r="M1258" i="17"/>
  <c r="N1258" i="17" s="1"/>
  <c r="M1254" i="17"/>
  <c r="M1226" i="17"/>
  <c r="M1227" i="17" s="1"/>
  <c r="H153" i="16" s="1"/>
  <c r="N1223" i="17"/>
  <c r="I151" i="16" s="1"/>
  <c r="M1223" i="17"/>
  <c r="H151" i="16" s="1"/>
  <c r="M1208" i="17"/>
  <c r="N1208" i="17" s="1"/>
  <c r="M1204" i="17"/>
  <c r="M1205" i="17" s="1"/>
  <c r="H148" i="16" s="1"/>
  <c r="M1188" i="17"/>
  <c r="N1188" i="17" s="1"/>
  <c r="N1185" i="17"/>
  <c r="I145" i="16" s="1"/>
  <c r="M1185" i="17"/>
  <c r="H145" i="16" s="1"/>
  <c r="M1167" i="17"/>
  <c r="N1167" i="17" s="1"/>
  <c r="M1168" i="17"/>
  <c r="N1168" i="17" s="1"/>
  <c r="M1169" i="17"/>
  <c r="N1169" i="17" s="1"/>
  <c r="M1170" i="17"/>
  <c r="N1170" i="17" s="1"/>
  <c r="M1171" i="17"/>
  <c r="N1171" i="17" s="1"/>
  <c r="M1173" i="17"/>
  <c r="N1173" i="17" s="1"/>
  <c r="M1166" i="17"/>
  <c r="N1166" i="17" s="1"/>
  <c r="M1152" i="17"/>
  <c r="N1152" i="17" s="1"/>
  <c r="M1133" i="17"/>
  <c r="N1133" i="17" s="1"/>
  <c r="M1097" i="17"/>
  <c r="N1097" i="17" s="1"/>
  <c r="N1109" i="17" s="1"/>
  <c r="I133" i="16" s="1"/>
  <c r="M1095" i="17"/>
  <c r="N1095" i="17" s="1"/>
  <c r="M1078" i="17"/>
  <c r="M1079" i="17" s="1"/>
  <c r="H129" i="16" s="1"/>
  <c r="M1075" i="17"/>
  <c r="H127" i="16" s="1"/>
  <c r="N1059" i="17"/>
  <c r="I126" i="16" s="1"/>
  <c r="M1059" i="17"/>
  <c r="H126" i="16" s="1"/>
  <c r="M1045" i="17"/>
  <c r="N1045" i="17" s="1"/>
  <c r="M1043" i="17"/>
  <c r="N1043" i="17" s="1"/>
  <c r="M1041" i="17"/>
  <c r="N1041" i="17" s="1"/>
  <c r="M1037" i="17"/>
  <c r="N1037" i="17" s="1"/>
  <c r="M1034" i="17"/>
  <c r="N1034" i="17" s="1"/>
  <c r="N1035" i="17" s="1"/>
  <c r="I123" i="16" s="1"/>
  <c r="M1009" i="17"/>
  <c r="N1009" i="17" s="1"/>
  <c r="M1010" i="17"/>
  <c r="N1010" i="17" s="1"/>
  <c r="M1011" i="17"/>
  <c r="N1011" i="17" s="1"/>
  <c r="M1012" i="17"/>
  <c r="N1012" i="17" s="1"/>
  <c r="M1013" i="17"/>
  <c r="N1013" i="17" s="1"/>
  <c r="M1014" i="17"/>
  <c r="N1014" i="17" s="1"/>
  <c r="M1015" i="17"/>
  <c r="N1015" i="17" s="1"/>
  <c r="M1008" i="17"/>
  <c r="N1008" i="17" s="1"/>
  <c r="M963" i="17"/>
  <c r="M969" i="17" s="1"/>
  <c r="H115" i="16" s="1"/>
  <c r="M950" i="17"/>
  <c r="N950" i="17" s="1"/>
  <c r="M938" i="17"/>
  <c r="N938" i="17" s="1"/>
  <c r="M937" i="17"/>
  <c r="N937" i="17" s="1"/>
  <c r="M928" i="17"/>
  <c r="M919" i="17"/>
  <c r="M920" i="17" s="1"/>
  <c r="H109" i="16" s="1"/>
  <c r="M858" i="17"/>
  <c r="N858" i="17" s="1"/>
  <c r="M859" i="17"/>
  <c r="N859" i="17" s="1"/>
  <c r="M860" i="17"/>
  <c r="N860" i="17" s="1"/>
  <c r="M861" i="17"/>
  <c r="N861" i="17" s="1"/>
  <c r="M862" i="17"/>
  <c r="N862" i="17" s="1"/>
  <c r="M863" i="17"/>
  <c r="N863" i="17" s="1"/>
  <c r="M864" i="17"/>
  <c r="N864" i="17" s="1"/>
  <c r="M865" i="17"/>
  <c r="N865" i="17" s="1"/>
  <c r="M866" i="17"/>
  <c r="N866" i="17" s="1"/>
  <c r="M867" i="17"/>
  <c r="N867" i="17" s="1"/>
  <c r="M868" i="17"/>
  <c r="N868" i="17" s="1"/>
  <c r="M869" i="17"/>
  <c r="N869" i="17" s="1"/>
  <c r="M870" i="17"/>
  <c r="N870" i="17" s="1"/>
  <c r="M857" i="17"/>
  <c r="N857" i="17" s="1"/>
  <c r="M854" i="17"/>
  <c r="H104" i="16" s="1"/>
  <c r="M829" i="17"/>
  <c r="N829" i="17" s="1"/>
  <c r="N830" i="17" s="1"/>
  <c r="I103" i="16" s="1"/>
  <c r="M817" i="17"/>
  <c r="N817" i="17" s="1"/>
  <c r="M801" i="17"/>
  <c r="N801" i="17" s="1"/>
  <c r="M778" i="17"/>
  <c r="N778" i="17" s="1"/>
  <c r="M692" i="17"/>
  <c r="M693" i="17" s="1"/>
  <c r="H85" i="16" s="1"/>
  <c r="M637" i="17"/>
  <c r="N637" i="17" s="1"/>
  <c r="M638" i="17"/>
  <c r="N638" i="17" s="1"/>
  <c r="M639" i="17"/>
  <c r="N639" i="17" s="1"/>
  <c r="M640" i="17"/>
  <c r="N640" i="17" s="1"/>
  <c r="M641" i="17"/>
  <c r="N641" i="17" s="1"/>
  <c r="M642" i="17"/>
  <c r="N642" i="17" s="1"/>
  <c r="M643" i="17"/>
  <c r="N643" i="17" s="1"/>
  <c r="M644" i="17"/>
  <c r="N644" i="17" s="1"/>
  <c r="M645" i="17"/>
  <c r="N645" i="17" s="1"/>
  <c r="M636" i="17"/>
  <c r="N636" i="17" s="1"/>
  <c r="N1615" i="17" l="1"/>
  <c r="M1616" i="17"/>
  <c r="N2241" i="17"/>
  <c r="N2242" i="17" s="1"/>
  <c r="I260" i="16" s="1"/>
  <c r="I262" i="16" s="1"/>
  <c r="M2242" i="17"/>
  <c r="M2289" i="17" s="1"/>
  <c r="N1981" i="17"/>
  <c r="M1982" i="17"/>
  <c r="N1548" i="17"/>
  <c r="M1549" i="17"/>
  <c r="M1613" i="17" s="1"/>
  <c r="N2293" i="17"/>
  <c r="M2331" i="17"/>
  <c r="M1859" i="17"/>
  <c r="N1859" i="17" s="1"/>
  <c r="M1255" i="17"/>
  <c r="H154" i="16" s="1"/>
  <c r="H155" i="16" s="1"/>
  <c r="N2407" i="17"/>
  <c r="N2409" i="17" s="1"/>
  <c r="M2409" i="17"/>
  <c r="H197" i="16"/>
  <c r="H128" i="16"/>
  <c r="N2145" i="17"/>
  <c r="I247" i="16" s="1"/>
  <c r="N1945" i="17"/>
  <c r="M2145" i="17"/>
  <c r="H247" i="16" s="1"/>
  <c r="N1712" i="17"/>
  <c r="I195" i="16" s="1"/>
  <c r="I197" i="16" s="1"/>
  <c r="N692" i="17"/>
  <c r="N693" i="17" s="1"/>
  <c r="I85" i="16" s="1"/>
  <c r="N963" i="17"/>
  <c r="N969" i="17" s="1"/>
  <c r="I115" i="16" s="1"/>
  <c r="M1109" i="17"/>
  <c r="H133" i="16" s="1"/>
  <c r="N1481" i="17"/>
  <c r="N1482" i="17" s="1"/>
  <c r="I180" i="16" s="1"/>
  <c r="N852" i="17"/>
  <c r="N854" i="17" s="1"/>
  <c r="I104" i="16" s="1"/>
  <c r="I105" i="16" s="1"/>
  <c r="N1204" i="17"/>
  <c r="N1205" i="17" s="1"/>
  <c r="I148" i="16" s="1"/>
  <c r="N1226" i="17"/>
  <c r="N1227" i="17" s="1"/>
  <c r="I153" i="16" s="1"/>
  <c r="N1254" i="17"/>
  <c r="M947" i="17"/>
  <c r="H110" i="16" s="1"/>
  <c r="H111" i="16" s="1"/>
  <c r="M830" i="17"/>
  <c r="H103" i="16" s="1"/>
  <c r="H105" i="16" s="1"/>
  <c r="M1076" i="17"/>
  <c r="M1035" i="17"/>
  <c r="H123" i="16" s="1"/>
  <c r="M1153" i="17"/>
  <c r="H141" i="16" s="1"/>
  <c r="N1016" i="17"/>
  <c r="I120" i="16" s="1"/>
  <c r="M872" i="17"/>
  <c r="M1016" i="17"/>
  <c r="H120" i="16" s="1"/>
  <c r="N1078" i="17"/>
  <c r="N1079" i="17" s="1"/>
  <c r="I129" i="16" s="1"/>
  <c r="M646" i="17"/>
  <c r="N919" i="17"/>
  <c r="N920" i="17" s="1"/>
  <c r="I109" i="16" s="1"/>
  <c r="N928" i="17"/>
  <c r="N947" i="17" s="1"/>
  <c r="I110" i="16" s="1"/>
  <c r="M613" i="17"/>
  <c r="N613" i="17" s="1"/>
  <c r="N614" i="17" s="1"/>
  <c r="I73" i="16" s="1"/>
  <c r="M606" i="17"/>
  <c r="N606" i="17" s="1"/>
  <c r="M605" i="17"/>
  <c r="N605" i="17" s="1"/>
  <c r="M593" i="17"/>
  <c r="N593" i="17" s="1"/>
  <c r="N594" i="17" s="1"/>
  <c r="I70" i="16" s="1"/>
  <c r="M587" i="17"/>
  <c r="N587" i="17" s="1"/>
  <c r="M583" i="17"/>
  <c r="N583" i="17" s="1"/>
  <c r="M579" i="17"/>
  <c r="N579" i="17" s="1"/>
  <c r="M564" i="17"/>
  <c r="N564" i="17" s="1"/>
  <c r="M565" i="17"/>
  <c r="N565" i="17" s="1"/>
  <c r="M566" i="17"/>
  <c r="N566" i="17" s="1"/>
  <c r="M567" i="17"/>
  <c r="N567" i="17" s="1"/>
  <c r="M568" i="17"/>
  <c r="N568" i="17" s="1"/>
  <c r="M569" i="17"/>
  <c r="N569" i="17" s="1"/>
  <c r="M570" i="17"/>
  <c r="N570" i="17" s="1"/>
  <c r="M571" i="17"/>
  <c r="N571" i="17" s="1"/>
  <c r="M572" i="17"/>
  <c r="N572" i="17" s="1"/>
  <c r="M563" i="17"/>
  <c r="M538" i="17"/>
  <c r="N538" i="17" s="1"/>
  <c r="M539" i="17"/>
  <c r="N539" i="17" s="1"/>
  <c r="M540" i="17"/>
  <c r="N540" i="17" s="1"/>
  <c r="M541" i="17"/>
  <c r="N541" i="17" s="1"/>
  <c r="M542" i="17"/>
  <c r="N542" i="17" s="1"/>
  <c r="M543" i="17"/>
  <c r="N543" i="17" s="1"/>
  <c r="M544" i="17"/>
  <c r="N544" i="17" s="1"/>
  <c r="M545" i="17"/>
  <c r="N545" i="17" s="1"/>
  <c r="M546" i="17"/>
  <c r="N546" i="17" s="1"/>
  <c r="M547" i="17"/>
  <c r="N547" i="17" s="1"/>
  <c r="M537" i="17"/>
  <c r="M493" i="17"/>
  <c r="M481" i="17"/>
  <c r="N481" i="17" s="1"/>
  <c r="N473" i="17"/>
  <c r="M425" i="17"/>
  <c r="N425" i="17" s="1"/>
  <c r="M408" i="17"/>
  <c r="N408" i="17" s="1"/>
  <c r="M394" i="17"/>
  <c r="N394" i="17" s="1"/>
  <c r="M395" i="17"/>
  <c r="N395" i="17" s="1"/>
  <c r="M396" i="17"/>
  <c r="M397" i="17"/>
  <c r="N397" i="17" s="1"/>
  <c r="M398" i="17"/>
  <c r="N398" i="17" s="1"/>
  <c r="M399" i="17"/>
  <c r="N399" i="17" s="1"/>
  <c r="M400" i="17"/>
  <c r="N400" i="17" s="1"/>
  <c r="M401" i="17"/>
  <c r="N401" i="17" s="1"/>
  <c r="M402" i="17"/>
  <c r="N402" i="17" s="1"/>
  <c r="M393" i="17"/>
  <c r="N393" i="17" s="1"/>
  <c r="M391" i="17"/>
  <c r="N391" i="17" s="1"/>
  <c r="M378" i="17"/>
  <c r="N378" i="17" s="1"/>
  <c r="N379" i="17" s="1"/>
  <c r="I44" i="16" s="1"/>
  <c r="N351" i="17"/>
  <c r="N352" i="17"/>
  <c r="N353" i="17"/>
  <c r="N354" i="17"/>
  <c r="N355" i="17"/>
  <c r="N356" i="17"/>
  <c r="N357" i="17"/>
  <c r="N358" i="17"/>
  <c r="N350" i="17"/>
  <c r="M311" i="17"/>
  <c r="M312" i="17"/>
  <c r="N312" i="17" s="1"/>
  <c r="M313" i="17"/>
  <c r="N313" i="17" s="1"/>
  <c r="M314" i="17"/>
  <c r="N314" i="17" s="1"/>
  <c r="M315" i="17"/>
  <c r="N315" i="17" s="1"/>
  <c r="M316" i="17"/>
  <c r="N316" i="17" s="1"/>
  <c r="M317" i="17"/>
  <c r="N317" i="17" s="1"/>
  <c r="M318" i="17"/>
  <c r="N318" i="17" s="1"/>
  <c r="M319" i="17"/>
  <c r="N319" i="17" s="1"/>
  <c r="M310" i="17"/>
  <c r="M280" i="17"/>
  <c r="N280" i="17" s="1"/>
  <c r="M281" i="17"/>
  <c r="N281" i="17" s="1"/>
  <c r="M282" i="17"/>
  <c r="N282" i="17" s="1"/>
  <c r="M283" i="17"/>
  <c r="N283" i="17" s="1"/>
  <c r="M284" i="17"/>
  <c r="N284" i="17" s="1"/>
  <c r="M285" i="17"/>
  <c r="N285" i="17" s="1"/>
  <c r="M286" i="17"/>
  <c r="N286" i="17" s="1"/>
  <c r="M279" i="17"/>
  <c r="N279" i="17" s="1"/>
  <c r="M239" i="17"/>
  <c r="N239" i="17" s="1"/>
  <c r="M240" i="17"/>
  <c r="N240" i="17" s="1"/>
  <c r="M241" i="17"/>
  <c r="N241" i="17" s="1"/>
  <c r="M242" i="17"/>
  <c r="N242" i="17" s="1"/>
  <c r="M243" i="17"/>
  <c r="N243" i="17" s="1"/>
  <c r="M244" i="17"/>
  <c r="N244" i="17" s="1"/>
  <c r="M245" i="17"/>
  <c r="N245" i="17" s="1"/>
  <c r="M246" i="17"/>
  <c r="N246" i="17" s="1"/>
  <c r="M247" i="17"/>
  <c r="N247" i="17" s="1"/>
  <c r="M248" i="17"/>
  <c r="N248" i="17" s="1"/>
  <c r="M249" i="17"/>
  <c r="N249" i="17" s="1"/>
  <c r="M250" i="17"/>
  <c r="N250" i="17" s="1"/>
  <c r="M238" i="17"/>
  <c r="N238" i="17" s="1"/>
  <c r="M221" i="17"/>
  <c r="N221" i="17" s="1"/>
  <c r="M222" i="17"/>
  <c r="N222" i="17" s="1"/>
  <c r="M223" i="17"/>
  <c r="N223" i="17" s="1"/>
  <c r="M224" i="17"/>
  <c r="N224" i="17" s="1"/>
  <c r="M225" i="17"/>
  <c r="N225" i="17" s="1"/>
  <c r="M226" i="17"/>
  <c r="N226" i="17" s="1"/>
  <c r="M227" i="17"/>
  <c r="N227" i="17" s="1"/>
  <c r="M228" i="17"/>
  <c r="N228" i="17" s="1"/>
  <c r="M229" i="17"/>
  <c r="N229" i="17" s="1"/>
  <c r="M230" i="17"/>
  <c r="N230" i="17" s="1"/>
  <c r="M231" i="17"/>
  <c r="N231" i="17" s="1"/>
  <c r="M232" i="17"/>
  <c r="N232" i="17" s="1"/>
  <c r="M233" i="17"/>
  <c r="N233" i="17" s="1"/>
  <c r="M234" i="17"/>
  <c r="N234" i="17" s="1"/>
  <c r="E174" i="16" l="1"/>
  <c r="L1875" i="17"/>
  <c r="H260" i="16"/>
  <c r="H262" i="16" s="1"/>
  <c r="M494" i="17"/>
  <c r="H61" i="16" s="1"/>
  <c r="N310" i="17"/>
  <c r="M320" i="17"/>
  <c r="N563" i="17"/>
  <c r="M574" i="17"/>
  <c r="N1255" i="17"/>
  <c r="I154" i="16" s="1"/>
  <c r="I155" i="16" s="1"/>
  <c r="I111" i="16"/>
  <c r="N872" i="17"/>
  <c r="H106" i="16"/>
  <c r="N646" i="17"/>
  <c r="I79" i="16" s="1"/>
  <c r="H79" i="16"/>
  <c r="M594" i="17"/>
  <c r="H70" i="16" s="1"/>
  <c r="M379" i="17"/>
  <c r="H44" i="16" s="1"/>
  <c r="M548" i="17"/>
  <c r="N490" i="17"/>
  <c r="I59" i="16" s="1"/>
  <c r="N537" i="17"/>
  <c r="N493" i="17"/>
  <c r="N494" i="17" s="1"/>
  <c r="I61" i="16" s="1"/>
  <c r="M490" i="17"/>
  <c r="H59" i="16" s="1"/>
  <c r="N311" i="17"/>
  <c r="N396" i="17"/>
  <c r="M178" i="17"/>
  <c r="N178" i="17" s="1"/>
  <c r="M179" i="17"/>
  <c r="N179" i="17" s="1"/>
  <c r="M180" i="17"/>
  <c r="N180" i="17" s="1"/>
  <c r="M181" i="17"/>
  <c r="N181" i="17" s="1"/>
  <c r="M182" i="17"/>
  <c r="N182" i="17" s="1"/>
  <c r="M183" i="17"/>
  <c r="N183" i="17" s="1"/>
  <c r="M184" i="17"/>
  <c r="N184" i="17" s="1"/>
  <c r="M177" i="17"/>
  <c r="M149" i="17"/>
  <c r="N149" i="17" s="1"/>
  <c r="M150" i="17"/>
  <c r="N150" i="17" s="1"/>
  <c r="M151" i="17"/>
  <c r="N151" i="17" s="1"/>
  <c r="M152" i="17"/>
  <c r="N152" i="17" s="1"/>
  <c r="M153" i="17"/>
  <c r="N153" i="17" s="1"/>
  <c r="M154" i="17"/>
  <c r="N154" i="17" s="1"/>
  <c r="M155" i="17"/>
  <c r="N155" i="17" s="1"/>
  <c r="M148" i="17"/>
  <c r="M111" i="17"/>
  <c r="N111" i="17" s="1"/>
  <c r="M112" i="17"/>
  <c r="N112" i="17" s="1"/>
  <c r="M113" i="17"/>
  <c r="N113" i="17" s="1"/>
  <c r="M114" i="17"/>
  <c r="N114" i="17" s="1"/>
  <c r="M115" i="17"/>
  <c r="N115" i="17" s="1"/>
  <c r="M116" i="17"/>
  <c r="N116" i="17" s="1"/>
  <c r="M117" i="17"/>
  <c r="N117" i="17" s="1"/>
  <c r="M118" i="17"/>
  <c r="N118" i="17" s="1"/>
  <c r="M110" i="17"/>
  <c r="M91" i="17"/>
  <c r="N91" i="17" s="1"/>
  <c r="M92" i="17"/>
  <c r="N92" i="17" s="1"/>
  <c r="M93" i="17"/>
  <c r="N93" i="17" s="1"/>
  <c r="M94" i="17"/>
  <c r="N94" i="17" s="1"/>
  <c r="M95" i="17"/>
  <c r="N95" i="17" s="1"/>
  <c r="M96" i="17"/>
  <c r="N96" i="17" s="1"/>
  <c r="M97" i="17"/>
  <c r="N97" i="17" s="1"/>
  <c r="M90" i="17"/>
  <c r="M84" i="17"/>
  <c r="N84" i="17" s="1"/>
  <c r="M79" i="17"/>
  <c r="N79" i="17" s="1"/>
  <c r="M80" i="17"/>
  <c r="N80" i="17" s="1"/>
  <c r="M81" i="17"/>
  <c r="N81" i="17" s="1"/>
  <c r="M82" i="17"/>
  <c r="N82" i="17" s="1"/>
  <c r="M78" i="17"/>
  <c r="N78" i="17" s="1"/>
  <c r="M74" i="17"/>
  <c r="N74" i="17" s="1"/>
  <c r="M75" i="17"/>
  <c r="N75" i="17" s="1"/>
  <c r="M76" i="17"/>
  <c r="N76" i="17" s="1"/>
  <c r="M73" i="17"/>
  <c r="N73" i="17" s="1"/>
  <c r="N71" i="17"/>
  <c r="M68" i="17"/>
  <c r="N68" i="17" s="1"/>
  <c r="M69" i="17"/>
  <c r="N69" i="17" s="1"/>
  <c r="M67" i="17"/>
  <c r="N67" i="17" s="1"/>
  <c r="N64" i="17"/>
  <c r="N38" i="17"/>
  <c r="N39" i="17"/>
  <c r="N40" i="17"/>
  <c r="N41" i="17"/>
  <c r="N42" i="17"/>
  <c r="N43" i="17"/>
  <c r="N44" i="17"/>
  <c r="N37" i="17"/>
  <c r="E213" i="16" l="1"/>
  <c r="M185" i="17"/>
  <c r="N90" i="17"/>
  <c r="M98" i="17"/>
  <c r="N110" i="17"/>
  <c r="M119" i="17"/>
  <c r="M146" i="17" s="1"/>
  <c r="I106" i="16"/>
  <c r="N548" i="17"/>
  <c r="I64" i="16" s="1"/>
  <c r="H64" i="16"/>
  <c r="N320" i="17"/>
  <c r="I36" i="16" s="1"/>
  <c r="H36" i="16"/>
  <c r="N574" i="17"/>
  <c r="I67" i="16" s="1"/>
  <c r="H67" i="16"/>
  <c r="M156" i="17"/>
  <c r="N148" i="17"/>
  <c r="N177" i="17"/>
  <c r="M87" i="17"/>
  <c r="H10" i="16" s="1"/>
  <c r="N156" i="17" l="1"/>
  <c r="I18" i="16" s="1"/>
  <c r="H18" i="16"/>
  <c r="N185" i="17"/>
  <c r="I24" i="16" s="1"/>
  <c r="H24" i="16"/>
  <c r="E34" i="16" l="1"/>
  <c r="E92" i="16"/>
  <c r="B11" i="16"/>
  <c r="F543" i="15" l="1"/>
  <c r="D43" i="14" s="1"/>
  <c r="N2477" i="17" l="1"/>
  <c r="I279" i="16" s="1"/>
  <c r="M2477" i="17"/>
  <c r="H279" i="16" s="1"/>
  <c r="F2448" i="17"/>
  <c r="F2477" i="17" s="1"/>
  <c r="N2447" i="17"/>
  <c r="I278" i="16" s="1"/>
  <c r="M2447" i="17"/>
  <c r="H278" i="16" s="1"/>
  <c r="F2447" i="17"/>
  <c r="I276" i="16"/>
  <c r="H276" i="16"/>
  <c r="F2443" i="17"/>
  <c r="N2429" i="17"/>
  <c r="I275" i="16" s="1"/>
  <c r="M2429" i="17"/>
  <c r="F2429" i="17"/>
  <c r="N2425" i="17"/>
  <c r="I273" i="16" s="1"/>
  <c r="M2425" i="17"/>
  <c r="H273" i="16" s="1"/>
  <c r="F2425" i="17"/>
  <c r="I272" i="16"/>
  <c r="H272" i="16"/>
  <c r="F2409" i="17"/>
  <c r="N2404" i="17"/>
  <c r="I270" i="16" s="1"/>
  <c r="H270" i="16"/>
  <c r="F2404" i="17"/>
  <c r="N2374" i="17"/>
  <c r="I269" i="16" s="1"/>
  <c r="M2374" i="17"/>
  <c r="F2374" i="17"/>
  <c r="I267" i="16"/>
  <c r="H267" i="16"/>
  <c r="F2370" i="17"/>
  <c r="N2344" i="17"/>
  <c r="I266" i="16" s="1"/>
  <c r="H266" i="16"/>
  <c r="F2344" i="17"/>
  <c r="N2331" i="17"/>
  <c r="I264" i="16" s="1"/>
  <c r="H264" i="16"/>
  <c r="F2331" i="17"/>
  <c r="N2292" i="17"/>
  <c r="I263" i="16" s="1"/>
  <c r="M2292" i="17"/>
  <c r="F2292" i="17"/>
  <c r="N2289" i="17"/>
  <c r="F2259" i="17"/>
  <c r="F2288" i="17" s="1"/>
  <c r="F2242" i="17"/>
  <c r="N2238" i="17"/>
  <c r="I258" i="16" s="1"/>
  <c r="M2238" i="17"/>
  <c r="H258" i="16" s="1"/>
  <c r="F2238" i="17"/>
  <c r="N2223" i="17"/>
  <c r="I257" i="16" s="1"/>
  <c r="H257" i="16"/>
  <c r="F2223" i="17"/>
  <c r="F2209" i="17"/>
  <c r="F2185" i="17"/>
  <c r="N2183" i="17"/>
  <c r="I252" i="16" s="1"/>
  <c r="I253" i="16" s="1"/>
  <c r="H252" i="16"/>
  <c r="H253" i="16" s="1"/>
  <c r="F2183" i="17"/>
  <c r="N2163" i="17"/>
  <c r="I250" i="16" s="1"/>
  <c r="M2163" i="17"/>
  <c r="H250" i="16" s="1"/>
  <c r="F2163" i="17"/>
  <c r="N2149" i="17"/>
  <c r="I249" i="16" s="1"/>
  <c r="M2149" i="17"/>
  <c r="H249" i="16" s="1"/>
  <c r="F2149" i="17"/>
  <c r="F2127" i="17"/>
  <c r="F2145" i="17" s="1"/>
  <c r="N2126" i="17"/>
  <c r="I246" i="16" s="1"/>
  <c r="I248" i="16" s="1"/>
  <c r="M2126" i="17"/>
  <c r="H246" i="16" s="1"/>
  <c r="H248" i="16" s="1"/>
  <c r="F2126" i="17"/>
  <c r="N2114" i="17"/>
  <c r="I244" i="16" s="1"/>
  <c r="M2114" i="17"/>
  <c r="H244" i="16" s="1"/>
  <c r="F2114" i="17"/>
  <c r="N2096" i="17"/>
  <c r="I243" i="16" s="1"/>
  <c r="M2096" i="17"/>
  <c r="H243" i="16" s="1"/>
  <c r="F2096" i="17"/>
  <c r="N2081" i="17"/>
  <c r="I241" i="16" s="1"/>
  <c r="M2081" i="17"/>
  <c r="H241" i="16" s="1"/>
  <c r="F2081" i="17"/>
  <c r="N2062" i="17"/>
  <c r="I240" i="16" s="1"/>
  <c r="M2062" i="17"/>
  <c r="H240" i="16" s="1"/>
  <c r="F2062" i="17"/>
  <c r="N2058" i="17"/>
  <c r="I238" i="16" s="1"/>
  <c r="M2058" i="17"/>
  <c r="H238" i="16" s="1"/>
  <c r="F2058" i="17"/>
  <c r="N2044" i="17"/>
  <c r="I237" i="16" s="1"/>
  <c r="M2044" i="17"/>
  <c r="H237" i="16" s="1"/>
  <c r="F2044" i="17"/>
  <c r="F2031" i="17"/>
  <c r="N2013" i="17"/>
  <c r="I234" i="16" s="1"/>
  <c r="I236" i="16" s="1"/>
  <c r="M2013" i="17"/>
  <c r="H234" i="16" s="1"/>
  <c r="H236" i="16" s="1"/>
  <c r="F2013" i="17"/>
  <c r="N1998" i="17"/>
  <c r="I232" i="16" s="1"/>
  <c r="M1998" i="17"/>
  <c r="H232" i="16" s="1"/>
  <c r="F1998" i="17"/>
  <c r="N1982" i="17"/>
  <c r="F1982" i="17"/>
  <c r="F1978" i="17"/>
  <c r="N1963" i="17"/>
  <c r="I228" i="16" s="1"/>
  <c r="I230" i="16" s="1"/>
  <c r="M1963" i="17"/>
  <c r="H228" i="16" s="1"/>
  <c r="H230" i="16" s="1"/>
  <c r="F1963" i="17"/>
  <c r="F1948" i="17"/>
  <c r="F1945" i="17"/>
  <c r="N1944" i="17"/>
  <c r="I225" i="16" s="1"/>
  <c r="M1944" i="17"/>
  <c r="H225" i="16" s="1"/>
  <c r="F1944" i="17"/>
  <c r="F1940" i="17"/>
  <c r="N1921" i="17"/>
  <c r="I222" i="16" s="1"/>
  <c r="I224" i="16" s="1"/>
  <c r="M1921" i="17"/>
  <c r="H222" i="16" s="1"/>
  <c r="H224" i="16" s="1"/>
  <c r="F1921" i="17"/>
  <c r="N1917" i="17"/>
  <c r="I220" i="16" s="1"/>
  <c r="H220" i="16"/>
  <c r="F1917" i="17"/>
  <c r="N1902" i="17"/>
  <c r="I219" i="16" s="1"/>
  <c r="M1902" i="17"/>
  <c r="F1902" i="17"/>
  <c r="N1898" i="17"/>
  <c r="I217" i="16" s="1"/>
  <c r="H217" i="16"/>
  <c r="F1898" i="17"/>
  <c r="N1878" i="17"/>
  <c r="I216" i="16" s="1"/>
  <c r="M1878" i="17"/>
  <c r="F1878" i="17"/>
  <c r="F1874" i="17"/>
  <c r="N1860" i="17"/>
  <c r="I213" i="16" s="1"/>
  <c r="I215" i="16" s="1"/>
  <c r="M1860" i="17"/>
  <c r="H213" i="16" s="1"/>
  <c r="H215" i="16" s="1"/>
  <c r="F1860" i="17"/>
  <c r="N1847" i="17"/>
  <c r="I211" i="16" s="1"/>
  <c r="M1847" i="17"/>
  <c r="H211" i="16" s="1"/>
  <c r="F1847" i="17"/>
  <c r="N1833" i="17"/>
  <c r="I210" i="16" s="1"/>
  <c r="M1833" i="17"/>
  <c r="H210" i="16" s="1"/>
  <c r="F1833" i="17"/>
  <c r="N1829" i="17"/>
  <c r="I208" i="16" s="1"/>
  <c r="M1829" i="17"/>
  <c r="H208" i="16" s="1"/>
  <c r="F1829" i="17"/>
  <c r="N1806" i="17"/>
  <c r="I207" i="16" s="1"/>
  <c r="M1806" i="17"/>
  <c r="H207" i="16" s="1"/>
  <c r="F1806" i="17"/>
  <c r="F1802" i="17"/>
  <c r="N1786" i="17"/>
  <c r="I204" i="16" s="1"/>
  <c r="I206" i="16" s="1"/>
  <c r="M1786" i="17"/>
  <c r="F1786" i="17"/>
  <c r="N1782" i="17"/>
  <c r="I202" i="16" s="1"/>
  <c r="M1782" i="17"/>
  <c r="H202" i="16" s="1"/>
  <c r="F1782" i="17"/>
  <c r="N1756" i="17"/>
  <c r="I201" i="16" s="1"/>
  <c r="M1756" i="17"/>
  <c r="H201" i="16" s="1"/>
  <c r="F1756" i="17"/>
  <c r="N1752" i="17"/>
  <c r="I199" i="16" s="1"/>
  <c r="M1752" i="17"/>
  <c r="H199" i="16" s="1"/>
  <c r="F1752" i="17"/>
  <c r="N1737" i="17"/>
  <c r="I198" i="16" s="1"/>
  <c r="M1737" i="17"/>
  <c r="H198" i="16" s="1"/>
  <c r="F1737" i="17"/>
  <c r="N1734" i="17"/>
  <c r="F1733" i="17"/>
  <c r="F1712" i="17"/>
  <c r="N1697" i="17"/>
  <c r="I193" i="16" s="1"/>
  <c r="M1697" i="17"/>
  <c r="H193" i="16" s="1"/>
  <c r="F1692" i="17"/>
  <c r="F1681" i="17"/>
  <c r="N1669" i="17"/>
  <c r="I192" i="16" s="1"/>
  <c r="M1669" i="17"/>
  <c r="H192" i="16" s="1"/>
  <c r="F1669" i="17"/>
  <c r="F1665" i="17"/>
  <c r="N1616" i="17"/>
  <c r="I189" i="16" s="1"/>
  <c r="I191" i="16" s="1"/>
  <c r="H189" i="16"/>
  <c r="H191" i="16" s="1"/>
  <c r="F1616" i="17"/>
  <c r="N1612" i="17"/>
  <c r="I187" i="16" s="1"/>
  <c r="H187" i="16"/>
  <c r="F1550" i="17"/>
  <c r="F1612" i="17" s="1"/>
  <c r="N1549" i="17"/>
  <c r="I186" i="16" s="1"/>
  <c r="H186" i="16"/>
  <c r="F1549" i="17"/>
  <c r="N1545" i="17"/>
  <c r="I184" i="16" s="1"/>
  <c r="H184" i="16"/>
  <c r="F1545" i="17"/>
  <c r="N1503" i="17"/>
  <c r="I183" i="16" s="1"/>
  <c r="M1503" i="17"/>
  <c r="F1503" i="17"/>
  <c r="N1499" i="17"/>
  <c r="M1499" i="17"/>
  <c r="F1494" i="17"/>
  <c r="F1483" i="17"/>
  <c r="F1482" i="17"/>
  <c r="N1478" i="17"/>
  <c r="I178" i="16" s="1"/>
  <c r="M1478" i="17"/>
  <c r="H178" i="16" s="1"/>
  <c r="F1462" i="17"/>
  <c r="F1478" i="17" s="1"/>
  <c r="N1461" i="17"/>
  <c r="I177" i="16" s="1"/>
  <c r="M1461" i="17"/>
  <c r="H177" i="16" s="1"/>
  <c r="F1461" i="17"/>
  <c r="N1457" i="17"/>
  <c r="I175" i="16" s="1"/>
  <c r="M1457" i="17"/>
  <c r="H175" i="16" s="1"/>
  <c r="F1440" i="17"/>
  <c r="F1457" i="17" s="1"/>
  <c r="N1439" i="17"/>
  <c r="I174" i="16" s="1"/>
  <c r="M1439" i="17"/>
  <c r="H174" i="16" s="1"/>
  <c r="F1439" i="17"/>
  <c r="N1426" i="17"/>
  <c r="I172" i="16" s="1"/>
  <c r="M1426" i="17"/>
  <c r="H172" i="16" s="1"/>
  <c r="F1426" i="17"/>
  <c r="F1396" i="17"/>
  <c r="F1397" i="17" s="1"/>
  <c r="N1381" i="17"/>
  <c r="I169" i="16" s="1"/>
  <c r="M1381" i="17"/>
  <c r="H169" i="16" s="1"/>
  <c r="F1381" i="17"/>
  <c r="N1362" i="17"/>
  <c r="I168" i="16" s="1"/>
  <c r="M1362" i="17"/>
  <c r="H168" i="16" s="1"/>
  <c r="F1362" i="17"/>
  <c r="F1340" i="17"/>
  <c r="F1349" i="17" s="1"/>
  <c r="N1339" i="17"/>
  <c r="I165" i="16" s="1"/>
  <c r="M1339" i="17"/>
  <c r="H165" i="16" s="1"/>
  <c r="F1339" i="17"/>
  <c r="F1334" i="17"/>
  <c r="F1335" i="17" s="1"/>
  <c r="N1321" i="17"/>
  <c r="I162" i="16" s="1"/>
  <c r="I164" i="16" s="1"/>
  <c r="M1321" i="17"/>
  <c r="H162" i="16" s="1"/>
  <c r="H164" i="16" s="1"/>
  <c r="F1321" i="17"/>
  <c r="F1317" i="17"/>
  <c r="N1294" i="17"/>
  <c r="M1294" i="17"/>
  <c r="H159" i="16" s="1"/>
  <c r="H161" i="16" s="1"/>
  <c r="F1294" i="17"/>
  <c r="F1273" i="17"/>
  <c r="F1280" i="17" s="1"/>
  <c r="N1259" i="17"/>
  <c r="I156" i="16" s="1"/>
  <c r="I158" i="16" s="1"/>
  <c r="M1259" i="17"/>
  <c r="H156" i="16" s="1"/>
  <c r="H158" i="16" s="1"/>
  <c r="F1259" i="17"/>
  <c r="N1256" i="17"/>
  <c r="M1256" i="17"/>
  <c r="F1250" i="17"/>
  <c r="F1246" i="17"/>
  <c r="F1240" i="17"/>
  <c r="F1232" i="17"/>
  <c r="F1228" i="17"/>
  <c r="F1227" i="17"/>
  <c r="F1223" i="17"/>
  <c r="N1209" i="17"/>
  <c r="I150" i="16" s="1"/>
  <c r="I152" i="16" s="1"/>
  <c r="M1209" i="17"/>
  <c r="H150" i="16" s="1"/>
  <c r="H152" i="16" s="1"/>
  <c r="F1209" i="17"/>
  <c r="F1205" i="17"/>
  <c r="N1189" i="17"/>
  <c r="I147" i="16" s="1"/>
  <c r="I149" i="16" s="1"/>
  <c r="M1189" i="17"/>
  <c r="H147" i="16" s="1"/>
  <c r="H149" i="16" s="1"/>
  <c r="F1189" i="17"/>
  <c r="F1180" i="17"/>
  <c r="F1185" i="17" s="1"/>
  <c r="F1172" i="17"/>
  <c r="F1174" i="17" s="1"/>
  <c r="N1163" i="17"/>
  <c r="I142" i="16" s="1"/>
  <c r="M1163" i="17"/>
  <c r="H142" i="16" s="1"/>
  <c r="H143" i="16" s="1"/>
  <c r="F1163" i="17"/>
  <c r="N1153" i="17"/>
  <c r="I141" i="16" s="1"/>
  <c r="F1153" i="17"/>
  <c r="N1149" i="17"/>
  <c r="I139" i="16" s="1"/>
  <c r="M1149" i="17"/>
  <c r="H139" i="16" s="1"/>
  <c r="F1149" i="17"/>
  <c r="N1134" i="17"/>
  <c r="I138" i="16" s="1"/>
  <c r="M1134" i="17"/>
  <c r="H138" i="16" s="1"/>
  <c r="F1134" i="17"/>
  <c r="N1130" i="17"/>
  <c r="I136" i="16" s="1"/>
  <c r="M1130" i="17"/>
  <c r="H136" i="16" s="1"/>
  <c r="F1130" i="17"/>
  <c r="N1113" i="17"/>
  <c r="I135" i="16" s="1"/>
  <c r="M1113" i="17"/>
  <c r="H135" i="16" s="1"/>
  <c r="F1113" i="17"/>
  <c r="F1107" i="17"/>
  <c r="F1109" i="17" s="1"/>
  <c r="N1096" i="17"/>
  <c r="I132" i="16" s="1"/>
  <c r="I134" i="16" s="1"/>
  <c r="M1096" i="17"/>
  <c r="H132" i="16" s="1"/>
  <c r="H134" i="16" s="1"/>
  <c r="F1096" i="17"/>
  <c r="N1092" i="17"/>
  <c r="M1092" i="17"/>
  <c r="F1092" i="17"/>
  <c r="F1079" i="17"/>
  <c r="N1075" i="17"/>
  <c r="I127" i="16" s="1"/>
  <c r="I128" i="16" s="1"/>
  <c r="F1075" i="17"/>
  <c r="F1059" i="17"/>
  <c r="F1048" i="17"/>
  <c r="F1035" i="17"/>
  <c r="N1031" i="17"/>
  <c r="M1031" i="17"/>
  <c r="F1031" i="17"/>
  <c r="F1016" i="17"/>
  <c r="N1005" i="17"/>
  <c r="I118" i="16" s="1"/>
  <c r="M1005" i="17"/>
  <c r="H118" i="16" s="1"/>
  <c r="F1005" i="17"/>
  <c r="N980" i="17"/>
  <c r="I117" i="16" s="1"/>
  <c r="M980" i="17"/>
  <c r="H117" i="16" s="1"/>
  <c r="F980" i="17"/>
  <c r="F961" i="17"/>
  <c r="F952" i="17"/>
  <c r="N951" i="17"/>
  <c r="I114" i="16" s="1"/>
  <c r="I116" i="16" s="1"/>
  <c r="M951" i="17"/>
  <c r="F951" i="17"/>
  <c r="N948" i="17"/>
  <c r="M948" i="17"/>
  <c r="F947" i="17"/>
  <c r="F920" i="17"/>
  <c r="F916" i="17"/>
  <c r="F872" i="17"/>
  <c r="N855" i="17"/>
  <c r="M855" i="17"/>
  <c r="F854" i="17"/>
  <c r="F830" i="17"/>
  <c r="N826" i="17"/>
  <c r="I101" i="16" s="1"/>
  <c r="M826" i="17"/>
  <c r="H101" i="16" s="1"/>
  <c r="F819" i="17"/>
  <c r="F826" i="17" s="1"/>
  <c r="N818" i="17"/>
  <c r="I100" i="16" s="1"/>
  <c r="M818" i="17"/>
  <c r="H100" i="16" s="1"/>
  <c r="F818" i="17"/>
  <c r="N814" i="17"/>
  <c r="I98" i="16" s="1"/>
  <c r="M814" i="17"/>
  <c r="H98" i="16" s="1"/>
  <c r="F814" i="17"/>
  <c r="N802" i="17"/>
  <c r="I97" i="16" s="1"/>
  <c r="M802" i="17"/>
  <c r="H97" i="16" s="1"/>
  <c r="F802" i="17"/>
  <c r="N798" i="17"/>
  <c r="I95" i="16" s="1"/>
  <c r="M798" i="17"/>
  <c r="H95" i="16" s="1"/>
  <c r="F798" i="17"/>
  <c r="N779" i="17"/>
  <c r="I94" i="16" s="1"/>
  <c r="M779" i="17"/>
  <c r="H94" i="16" s="1"/>
  <c r="F779" i="17"/>
  <c r="N761" i="17"/>
  <c r="I92" i="16" s="1"/>
  <c r="M761" i="17"/>
  <c r="H92" i="16" s="1"/>
  <c r="F761" i="17"/>
  <c r="N747" i="17"/>
  <c r="I91" i="16" s="1"/>
  <c r="M747" i="17"/>
  <c r="H91" i="16" s="1"/>
  <c r="F747" i="17"/>
  <c r="N736" i="17"/>
  <c r="I89" i="16" s="1"/>
  <c r="M736" i="17"/>
  <c r="H89" i="16" s="1"/>
  <c r="F736" i="17"/>
  <c r="N721" i="17"/>
  <c r="I88" i="16" s="1"/>
  <c r="M721" i="17"/>
  <c r="H88" i="16" s="1"/>
  <c r="F721" i="17"/>
  <c r="F706" i="17"/>
  <c r="F704" i="17"/>
  <c r="F693" i="17"/>
  <c r="N689" i="17"/>
  <c r="I83" i="16" s="1"/>
  <c r="M689" i="17"/>
  <c r="H83" i="16" s="1"/>
  <c r="F675" i="17"/>
  <c r="F689" i="17" s="1"/>
  <c r="N674" i="17"/>
  <c r="I82" i="16" s="1"/>
  <c r="M674" i="17"/>
  <c r="H82" i="16" s="1"/>
  <c r="F674" i="17"/>
  <c r="N661" i="17"/>
  <c r="M661" i="17"/>
  <c r="F661" i="17"/>
  <c r="F646" i="17"/>
  <c r="N633" i="17"/>
  <c r="I74" i="16" s="1"/>
  <c r="I75" i="16" s="1"/>
  <c r="M633" i="17"/>
  <c r="H74" i="16" s="1"/>
  <c r="F629" i="17"/>
  <c r="F633" i="17" s="1"/>
  <c r="M614" i="17"/>
  <c r="H73" i="16" s="1"/>
  <c r="F614" i="17"/>
  <c r="N610" i="17"/>
  <c r="M610" i="17"/>
  <c r="F595" i="17"/>
  <c r="F610" i="17" s="1"/>
  <c r="F594" i="17"/>
  <c r="N590" i="17"/>
  <c r="M590" i="17"/>
  <c r="F590" i="17"/>
  <c r="F574" i="17"/>
  <c r="N560" i="17"/>
  <c r="M560" i="17"/>
  <c r="F560" i="17"/>
  <c r="F548" i="17"/>
  <c r="N534" i="17"/>
  <c r="M534" i="17"/>
  <c r="F534" i="17"/>
  <c r="F494" i="17"/>
  <c r="F490" i="17"/>
  <c r="N471" i="17"/>
  <c r="I58" i="16" s="1"/>
  <c r="I60" i="16" s="1"/>
  <c r="H58" i="16"/>
  <c r="H60" i="16" s="1"/>
  <c r="F471" i="17"/>
  <c r="N467" i="17"/>
  <c r="I56" i="16" s="1"/>
  <c r="M467" i="17"/>
  <c r="H56" i="16" s="1"/>
  <c r="F454" i="17"/>
  <c r="F453" i="17"/>
  <c r="F452" i="17"/>
  <c r="N450" i="17"/>
  <c r="I55" i="16" s="1"/>
  <c r="M450" i="17"/>
  <c r="H55" i="16" s="1"/>
  <c r="F450" i="17"/>
  <c r="N438" i="17"/>
  <c r="I53" i="16" s="1"/>
  <c r="M438" i="17"/>
  <c r="H53" i="16" s="1"/>
  <c r="F438" i="17"/>
  <c r="N426" i="17"/>
  <c r="I52" i="16" s="1"/>
  <c r="M426" i="17"/>
  <c r="H52" i="16" s="1"/>
  <c r="F426" i="17"/>
  <c r="N422" i="17"/>
  <c r="I50" i="16" s="1"/>
  <c r="H50" i="16"/>
  <c r="F422" i="17"/>
  <c r="N409" i="17"/>
  <c r="I49" i="16" s="1"/>
  <c r="M409" i="17"/>
  <c r="F409" i="17"/>
  <c r="F404" i="17"/>
  <c r="F405" i="17" s="1"/>
  <c r="F406" i="17" s="1"/>
  <c r="N388" i="17"/>
  <c r="M388" i="17"/>
  <c r="F388" i="17"/>
  <c r="F379" i="17"/>
  <c r="N375" i="17"/>
  <c r="F375" i="17"/>
  <c r="F376" i="17" s="1"/>
  <c r="N359" i="17"/>
  <c r="I40" i="16" s="1"/>
  <c r="M359" i="17"/>
  <c r="H40" i="16" s="1"/>
  <c r="F359" i="17"/>
  <c r="N349" i="17"/>
  <c r="I39" i="16" s="1"/>
  <c r="M349" i="17"/>
  <c r="H39" i="16" s="1"/>
  <c r="F349" i="17"/>
  <c r="N337" i="17"/>
  <c r="M337" i="17"/>
  <c r="F336" i="17"/>
  <c r="F337" i="17" s="1"/>
  <c r="F320" i="17"/>
  <c r="N307" i="17"/>
  <c r="I34" i="16" s="1"/>
  <c r="M307" i="17"/>
  <c r="H34" i="16" s="1"/>
  <c r="F307" i="17"/>
  <c r="N287" i="17"/>
  <c r="I33" i="16" s="1"/>
  <c r="M287" i="17"/>
  <c r="H33" i="16" s="1"/>
  <c r="F287" i="17"/>
  <c r="I31" i="16"/>
  <c r="H31" i="16"/>
  <c r="F276" i="17"/>
  <c r="N251" i="17"/>
  <c r="I30" i="16" s="1"/>
  <c r="M251" i="17"/>
  <c r="H30" i="16" s="1"/>
  <c r="F251" i="17"/>
  <c r="F220" i="17"/>
  <c r="F235" i="17" s="1"/>
  <c r="N207" i="17"/>
  <c r="M207" i="17"/>
  <c r="F207" i="17"/>
  <c r="F185" i="17"/>
  <c r="N174" i="17"/>
  <c r="M174" i="17"/>
  <c r="F174" i="17"/>
  <c r="F156" i="17"/>
  <c r="N145" i="17"/>
  <c r="I16" i="16" s="1"/>
  <c r="H16" i="16"/>
  <c r="F145" i="17"/>
  <c r="N119" i="17"/>
  <c r="I15" i="16" s="1"/>
  <c r="H15" i="16"/>
  <c r="F119" i="17"/>
  <c r="N107" i="17"/>
  <c r="I13" i="16" s="1"/>
  <c r="M107" i="17"/>
  <c r="H13" i="16" s="1"/>
  <c r="F106" i="17"/>
  <c r="F107" i="17" s="1"/>
  <c r="N98" i="17"/>
  <c r="I12" i="16" s="1"/>
  <c r="H12" i="16"/>
  <c r="F98" i="17"/>
  <c r="N87" i="17"/>
  <c r="I10" i="16" s="1"/>
  <c r="F87" i="17"/>
  <c r="N65" i="17"/>
  <c r="I9" i="16" s="1"/>
  <c r="M65" i="17"/>
  <c r="F65" i="17"/>
  <c r="N61" i="17"/>
  <c r="I7" i="16" s="1"/>
  <c r="M61" i="17"/>
  <c r="H7" i="16" s="1"/>
  <c r="F61" i="17"/>
  <c r="M45" i="17"/>
  <c r="F45" i="17"/>
  <c r="I4" i="16"/>
  <c r="H4" i="16"/>
  <c r="F34" i="17"/>
  <c r="N16" i="17"/>
  <c r="M16" i="17"/>
  <c r="F5" i="17"/>
  <c r="F16" i="17" s="1"/>
  <c r="B280" i="16"/>
  <c r="C279" i="16"/>
  <c r="C278" i="16"/>
  <c r="D277" i="16"/>
  <c r="B277" i="16"/>
  <c r="C276" i="16"/>
  <c r="C275" i="16"/>
  <c r="B274" i="16"/>
  <c r="C273" i="16"/>
  <c r="C272" i="16"/>
  <c r="B272" i="16"/>
  <c r="A272" i="16"/>
  <c r="D271" i="16"/>
  <c r="C270" i="16"/>
  <c r="C269" i="16"/>
  <c r="D268" i="16"/>
  <c r="B268" i="16"/>
  <c r="C267" i="16"/>
  <c r="C266" i="16"/>
  <c r="D265" i="16"/>
  <c r="B265" i="16"/>
  <c r="C264" i="16"/>
  <c r="C263" i="16"/>
  <c r="D262" i="16"/>
  <c r="B262" i="16"/>
  <c r="C261" i="16"/>
  <c r="C260" i="16"/>
  <c r="D259" i="16"/>
  <c r="B259" i="16"/>
  <c r="C258" i="16"/>
  <c r="C257" i="16"/>
  <c r="D256" i="16"/>
  <c r="B256" i="16"/>
  <c r="C255" i="16"/>
  <c r="C254" i="16"/>
  <c r="D253" i="16"/>
  <c r="B253" i="16"/>
  <c r="C252" i="16"/>
  <c r="D251" i="16"/>
  <c r="B251" i="16"/>
  <c r="C250" i="16"/>
  <c r="C249" i="16"/>
  <c r="D248" i="16"/>
  <c r="B248" i="16"/>
  <c r="C247" i="16"/>
  <c r="C246" i="16"/>
  <c r="D245" i="16"/>
  <c r="B245" i="16"/>
  <c r="C244" i="16"/>
  <c r="C243" i="16"/>
  <c r="D242" i="16"/>
  <c r="B242" i="16"/>
  <c r="C241" i="16"/>
  <c r="C240" i="16"/>
  <c r="D239" i="16"/>
  <c r="B239" i="16"/>
  <c r="C238" i="16"/>
  <c r="C237" i="16"/>
  <c r="D236" i="16"/>
  <c r="B236" i="16"/>
  <c r="C235" i="16"/>
  <c r="C234" i="16"/>
  <c r="D233" i="16"/>
  <c r="B233" i="16"/>
  <c r="C232" i="16"/>
  <c r="C231" i="16"/>
  <c r="D230" i="16"/>
  <c r="B230" i="16"/>
  <c r="C229" i="16"/>
  <c r="C228" i="16"/>
  <c r="B227" i="16"/>
  <c r="C226" i="16"/>
  <c r="C225" i="16"/>
  <c r="A225" i="16"/>
  <c r="D224" i="16"/>
  <c r="B224" i="16"/>
  <c r="C223" i="16"/>
  <c r="C222" i="16"/>
  <c r="D221" i="16"/>
  <c r="B221" i="16"/>
  <c r="C220" i="16"/>
  <c r="C219" i="16"/>
  <c r="D218" i="16"/>
  <c r="B218" i="16"/>
  <c r="C217" i="16"/>
  <c r="C216" i="16"/>
  <c r="D215" i="16"/>
  <c r="B215" i="16"/>
  <c r="C214" i="16"/>
  <c r="C213" i="16"/>
  <c r="D212" i="16"/>
  <c r="B212" i="16"/>
  <c r="C211" i="16"/>
  <c r="C210" i="16"/>
  <c r="D209" i="16"/>
  <c r="B209" i="16"/>
  <c r="C208" i="16"/>
  <c r="C207" i="16"/>
  <c r="D206" i="16"/>
  <c r="B206" i="16"/>
  <c r="C205" i="16"/>
  <c r="C204" i="16"/>
  <c r="D203" i="16"/>
  <c r="B203" i="16"/>
  <c r="C202" i="16"/>
  <c r="C201" i="16"/>
  <c r="D200" i="16"/>
  <c r="B200" i="16"/>
  <c r="C199" i="16"/>
  <c r="C198" i="16"/>
  <c r="D197" i="16"/>
  <c r="B197" i="16"/>
  <c r="C196" i="16"/>
  <c r="C195" i="16"/>
  <c r="D194" i="16"/>
  <c r="B194" i="16"/>
  <c r="C193" i="16"/>
  <c r="C192" i="16"/>
  <c r="D191" i="16"/>
  <c r="B191" i="16"/>
  <c r="C190" i="16"/>
  <c r="C189" i="16"/>
  <c r="D188" i="16"/>
  <c r="B188" i="16"/>
  <c r="C187" i="16"/>
  <c r="C186" i="16"/>
  <c r="D185" i="16"/>
  <c r="B185" i="16"/>
  <c r="C184" i="16"/>
  <c r="C183" i="16"/>
  <c r="D182" i="16"/>
  <c r="B182" i="16"/>
  <c r="C181" i="16"/>
  <c r="C180" i="16"/>
  <c r="D179" i="16"/>
  <c r="B179" i="16"/>
  <c r="C178" i="16"/>
  <c r="C177" i="16"/>
  <c r="D176" i="16"/>
  <c r="B176" i="16"/>
  <c r="C175" i="16"/>
  <c r="C174" i="16"/>
  <c r="D173" i="16"/>
  <c r="B173" i="16"/>
  <c r="C172" i="16"/>
  <c r="C171" i="16"/>
  <c r="D170" i="16"/>
  <c r="B170" i="16"/>
  <c r="C169" i="16"/>
  <c r="C168" i="16"/>
  <c r="D167" i="16"/>
  <c r="B167" i="16"/>
  <c r="C166" i="16"/>
  <c r="C165" i="16"/>
  <c r="D164" i="16"/>
  <c r="B164" i="16"/>
  <c r="C163" i="16"/>
  <c r="C162" i="16"/>
  <c r="D161" i="16"/>
  <c r="B161" i="16"/>
  <c r="C160" i="16"/>
  <c r="C159" i="16"/>
  <c r="D158" i="16"/>
  <c r="B158" i="16"/>
  <c r="C157" i="16"/>
  <c r="C156" i="16"/>
  <c r="D155" i="16"/>
  <c r="B155" i="16"/>
  <c r="C154" i="16"/>
  <c r="C153" i="16"/>
  <c r="D152" i="16"/>
  <c r="B152" i="16"/>
  <c r="C151" i="16"/>
  <c r="C150" i="16"/>
  <c r="D149" i="16"/>
  <c r="B149" i="16"/>
  <c r="C148" i="16"/>
  <c r="C147" i="16"/>
  <c r="D146" i="16"/>
  <c r="B146" i="16"/>
  <c r="C145" i="16"/>
  <c r="C144" i="16"/>
  <c r="D143" i="16"/>
  <c r="B143" i="16"/>
  <c r="C142" i="16"/>
  <c r="C141" i="16"/>
  <c r="D140" i="16"/>
  <c r="B140" i="16"/>
  <c r="C139" i="16"/>
  <c r="C138" i="16"/>
  <c r="D137" i="16"/>
  <c r="B137" i="16"/>
  <c r="C136" i="16"/>
  <c r="C135" i="16"/>
  <c r="D134" i="16"/>
  <c r="B134" i="16"/>
  <c r="C133" i="16"/>
  <c r="C132" i="16"/>
  <c r="D131" i="16"/>
  <c r="B131" i="16"/>
  <c r="C130" i="16"/>
  <c r="C129" i="16"/>
  <c r="B128" i="16"/>
  <c r="C127" i="16"/>
  <c r="C126" i="16"/>
  <c r="D125" i="16"/>
  <c r="B125" i="16"/>
  <c r="C124" i="16"/>
  <c r="C123" i="16"/>
  <c r="D122" i="16"/>
  <c r="C121" i="16"/>
  <c r="C120" i="16"/>
  <c r="D119" i="16"/>
  <c r="B119" i="16"/>
  <c r="C118" i="16"/>
  <c r="C117" i="16"/>
  <c r="D116" i="16"/>
  <c r="B116" i="16"/>
  <c r="C115" i="16"/>
  <c r="C114" i="16"/>
  <c r="D113" i="16"/>
  <c r="D111" i="16"/>
  <c r="B111" i="16"/>
  <c r="C110" i="16"/>
  <c r="C109" i="16"/>
  <c r="B109" i="16"/>
  <c r="D108" i="16"/>
  <c r="B108" i="16"/>
  <c r="C107" i="16"/>
  <c r="C106" i="16"/>
  <c r="D105" i="16"/>
  <c r="B105" i="16"/>
  <c r="C104" i="16"/>
  <c r="C103" i="16"/>
  <c r="B103" i="16"/>
  <c r="D102" i="16"/>
  <c r="B102" i="16"/>
  <c r="C101" i="16"/>
  <c r="C100" i="16"/>
  <c r="B100" i="16"/>
  <c r="D99" i="16"/>
  <c r="B99" i="16"/>
  <c r="C98" i="16"/>
  <c r="C97" i="16"/>
  <c r="D96" i="16"/>
  <c r="B96" i="16"/>
  <c r="C95" i="16"/>
  <c r="C94" i="16"/>
  <c r="A94" i="16"/>
  <c r="D93" i="16"/>
  <c r="B93" i="16"/>
  <c r="C92" i="16"/>
  <c r="C91" i="16"/>
  <c r="D90" i="16"/>
  <c r="B90" i="16"/>
  <c r="C89" i="16"/>
  <c r="C88" i="16"/>
  <c r="A88" i="16"/>
  <c r="D87" i="16"/>
  <c r="B87" i="16"/>
  <c r="C86" i="16"/>
  <c r="C85" i="16"/>
  <c r="D84" i="16"/>
  <c r="B84" i="16"/>
  <c r="C83" i="16"/>
  <c r="C82" i="16"/>
  <c r="B82" i="16"/>
  <c r="A82" i="16"/>
  <c r="D81" i="16"/>
  <c r="B81" i="16"/>
  <c r="C80" i="16"/>
  <c r="C79" i="16"/>
  <c r="D78" i="16"/>
  <c r="D75" i="16"/>
  <c r="B75" i="16"/>
  <c r="C74" i="16"/>
  <c r="C73" i="16"/>
  <c r="D72" i="16"/>
  <c r="B72" i="16"/>
  <c r="C71" i="16"/>
  <c r="C70" i="16"/>
  <c r="B70" i="16"/>
  <c r="A70" i="16"/>
  <c r="D69" i="16"/>
  <c r="B69" i="16"/>
  <c r="C68" i="16"/>
  <c r="C67" i="16"/>
  <c r="D66" i="16"/>
  <c r="B66" i="16"/>
  <c r="C65" i="16"/>
  <c r="C64" i="16"/>
  <c r="B64" i="16"/>
  <c r="A64" i="16"/>
  <c r="B63" i="16"/>
  <c r="C62" i="16"/>
  <c r="D61" i="16"/>
  <c r="C61" i="16"/>
  <c r="A61" i="16"/>
  <c r="D60" i="16"/>
  <c r="B60" i="16"/>
  <c r="C59" i="16"/>
  <c r="C58" i="16"/>
  <c r="D57" i="16"/>
  <c r="B57" i="16"/>
  <c r="C56" i="16"/>
  <c r="C55" i="16"/>
  <c r="B55" i="16"/>
  <c r="A55" i="16"/>
  <c r="B54" i="16"/>
  <c r="D53" i="16"/>
  <c r="C53" i="16"/>
  <c r="D52" i="16"/>
  <c r="C52" i="16"/>
  <c r="B52" i="16"/>
  <c r="A52" i="16"/>
  <c r="D51" i="16"/>
  <c r="B51" i="16"/>
  <c r="C50" i="16"/>
  <c r="C49" i="16"/>
  <c r="B49" i="16"/>
  <c r="A49" i="16"/>
  <c r="D48" i="16"/>
  <c r="B48" i="16"/>
  <c r="C47" i="16"/>
  <c r="D46" i="16"/>
  <c r="B46" i="16"/>
  <c r="C45" i="16"/>
  <c r="C44" i="16"/>
  <c r="B44" i="16"/>
  <c r="A44" i="16"/>
  <c r="D43" i="16"/>
  <c r="B43" i="16"/>
  <c r="C42" i="16"/>
  <c r="B42" i="16"/>
  <c r="D41" i="16"/>
  <c r="B41" i="16"/>
  <c r="C40" i="16"/>
  <c r="C39" i="16"/>
  <c r="B39" i="16"/>
  <c r="D38" i="16"/>
  <c r="B38" i="16"/>
  <c r="C37" i="16"/>
  <c r="C36" i="16"/>
  <c r="B36" i="16"/>
  <c r="A36" i="16"/>
  <c r="D35" i="16"/>
  <c r="B35" i="16"/>
  <c r="C34" i="16"/>
  <c r="C33" i="16"/>
  <c r="B33" i="16"/>
  <c r="A33" i="16"/>
  <c r="D32" i="16"/>
  <c r="B32" i="16"/>
  <c r="C31" i="16"/>
  <c r="C30" i="16"/>
  <c r="B30" i="16"/>
  <c r="B29" i="16"/>
  <c r="C28" i="16"/>
  <c r="C27" i="16"/>
  <c r="B27" i="16"/>
  <c r="A27" i="16"/>
  <c r="D26" i="16"/>
  <c r="B26" i="16"/>
  <c r="C25" i="16"/>
  <c r="C24" i="16"/>
  <c r="A24" i="16"/>
  <c r="D23" i="16"/>
  <c r="D20" i="16"/>
  <c r="B20" i="16"/>
  <c r="C19" i="16"/>
  <c r="C18" i="16"/>
  <c r="D17" i="16"/>
  <c r="B17" i="16"/>
  <c r="C16" i="16"/>
  <c r="D14" i="16"/>
  <c r="B14" i="16"/>
  <c r="C13" i="16"/>
  <c r="C12" i="16"/>
  <c r="D11" i="16"/>
  <c r="C10" i="16"/>
  <c r="C9" i="16"/>
  <c r="D8" i="16"/>
  <c r="B8" i="16"/>
  <c r="C7" i="16"/>
  <c r="C6" i="16"/>
  <c r="D5" i="16"/>
  <c r="B5" i="16"/>
  <c r="C4" i="16"/>
  <c r="C3" i="16"/>
  <c r="I57" i="16" l="1"/>
  <c r="I280" i="16"/>
  <c r="H57" i="16"/>
  <c r="H3" i="16"/>
  <c r="H5" i="16" s="1"/>
  <c r="M35" i="17"/>
  <c r="I3" i="16"/>
  <c r="I5" i="16" s="1"/>
  <c r="N35" i="17"/>
  <c r="H203" i="16"/>
  <c r="H212" i="16"/>
  <c r="H251" i="16"/>
  <c r="I54" i="16"/>
  <c r="I259" i="16"/>
  <c r="I170" i="16"/>
  <c r="H239" i="16"/>
  <c r="H268" i="16"/>
  <c r="I277" i="16"/>
  <c r="I274" i="16"/>
  <c r="H41" i="16"/>
  <c r="H200" i="16"/>
  <c r="H209" i="16"/>
  <c r="I239" i="16"/>
  <c r="I245" i="16"/>
  <c r="I268" i="16"/>
  <c r="H90" i="16"/>
  <c r="H96" i="16"/>
  <c r="I200" i="16"/>
  <c r="H84" i="16"/>
  <c r="I90" i="16"/>
  <c r="I143" i="16"/>
  <c r="I242" i="16"/>
  <c r="H274" i="16"/>
  <c r="I51" i="16"/>
  <c r="I102" i="16"/>
  <c r="H170" i="16"/>
  <c r="H245" i="16"/>
  <c r="I84" i="16"/>
  <c r="H93" i="16"/>
  <c r="H259" i="16"/>
  <c r="I96" i="16"/>
  <c r="H204" i="16"/>
  <c r="H206" i="16" s="1"/>
  <c r="M1803" i="17"/>
  <c r="H216" i="16"/>
  <c r="H218" i="16" s="1"/>
  <c r="M1899" i="17"/>
  <c r="H219" i="16"/>
  <c r="H221" i="16" s="1"/>
  <c r="M1918" i="17"/>
  <c r="H49" i="16"/>
  <c r="H51" i="16" s="1"/>
  <c r="M423" i="17"/>
  <c r="H263" i="16"/>
  <c r="H265" i="16" s="1"/>
  <c r="M2332" i="17"/>
  <c r="H269" i="16"/>
  <c r="H271" i="16" s="1"/>
  <c r="M2405" i="17"/>
  <c r="H275" i="16"/>
  <c r="H277" i="16" s="1"/>
  <c r="M2444" i="17"/>
  <c r="H183" i="16"/>
  <c r="H185" i="16" s="1"/>
  <c r="M1546" i="17"/>
  <c r="E149" i="16"/>
  <c r="E200" i="16"/>
  <c r="E212" i="16"/>
  <c r="E268" i="16"/>
  <c r="E17" i="16"/>
  <c r="M704" i="17"/>
  <c r="N704" i="17" s="1"/>
  <c r="N708" i="17" s="1"/>
  <c r="N709" i="17" s="1"/>
  <c r="E32" i="16"/>
  <c r="E41" i="16"/>
  <c r="E46" i="16"/>
  <c r="E81" i="16"/>
  <c r="E90" i="16"/>
  <c r="E137" i="16"/>
  <c r="E277" i="16"/>
  <c r="I35" i="16"/>
  <c r="I159" i="16"/>
  <c r="I161" i="16" s="1"/>
  <c r="N1318" i="17"/>
  <c r="H35" i="16"/>
  <c r="I212" i="16"/>
  <c r="I17" i="16"/>
  <c r="I93" i="16"/>
  <c r="H17" i="16"/>
  <c r="F708" i="17"/>
  <c r="F709" i="17" s="1"/>
  <c r="H119" i="16"/>
  <c r="I251" i="16"/>
  <c r="H102" i="16"/>
  <c r="I119" i="16"/>
  <c r="F2187" i="17"/>
  <c r="I179" i="16"/>
  <c r="H188" i="16"/>
  <c r="H32" i="16"/>
  <c r="I209" i="16"/>
  <c r="H242" i="16"/>
  <c r="I32" i="16"/>
  <c r="I176" i="16"/>
  <c r="I185" i="16"/>
  <c r="I188" i="16"/>
  <c r="H194" i="16"/>
  <c r="I271" i="16"/>
  <c r="I265" i="16"/>
  <c r="H280" i="16"/>
  <c r="I221" i="16"/>
  <c r="H54" i="16"/>
  <c r="H137" i="16"/>
  <c r="H179" i="16"/>
  <c r="I137" i="16"/>
  <c r="I203" i="16"/>
  <c r="I140" i="16"/>
  <c r="I218" i="16"/>
  <c r="H140" i="16"/>
  <c r="I99" i="16"/>
  <c r="H176" i="16"/>
  <c r="H14" i="16"/>
  <c r="I194" i="16"/>
  <c r="M1500" i="17"/>
  <c r="H181" i="16"/>
  <c r="H182" i="16" s="1"/>
  <c r="M1999" i="17"/>
  <c r="H231" i="16"/>
  <c r="H233" i="16" s="1"/>
  <c r="N1500" i="17"/>
  <c r="I181" i="16"/>
  <c r="I182" i="16" s="1"/>
  <c r="N1999" i="17"/>
  <c r="I231" i="16"/>
  <c r="I233" i="16" s="1"/>
  <c r="I41" i="16"/>
  <c r="I11" i="16"/>
  <c r="M175" i="17"/>
  <c r="H19" i="16"/>
  <c r="H20" i="16" s="1"/>
  <c r="M338" i="17"/>
  <c r="H37" i="16"/>
  <c r="H38" i="16" s="1"/>
  <c r="H42" i="16"/>
  <c r="H43" i="16" s="1"/>
  <c r="M535" i="17"/>
  <c r="H62" i="16"/>
  <c r="H63" i="16" s="1"/>
  <c r="N591" i="17"/>
  <c r="I68" i="16"/>
  <c r="I69" i="16" s="1"/>
  <c r="N917" i="17"/>
  <c r="I107" i="16"/>
  <c r="I108" i="16" s="1"/>
  <c r="I121" i="16"/>
  <c r="I122" i="16" s="1"/>
  <c r="N1032" i="17"/>
  <c r="M970" i="17"/>
  <c r="H114" i="16"/>
  <c r="H116" i="16" s="1"/>
  <c r="M2164" i="17"/>
  <c r="N175" i="17"/>
  <c r="I19" i="16"/>
  <c r="I20" i="16" s="1"/>
  <c r="N338" i="17"/>
  <c r="I37" i="16"/>
  <c r="I38" i="16" s="1"/>
  <c r="N376" i="17"/>
  <c r="I42" i="16"/>
  <c r="I43" i="16" s="1"/>
  <c r="N535" i="17"/>
  <c r="I62" i="16"/>
  <c r="I63" i="16" s="1"/>
  <c r="M561" i="17"/>
  <c r="H65" i="16"/>
  <c r="H66" i="16" s="1"/>
  <c r="M611" i="17"/>
  <c r="H71" i="16"/>
  <c r="H72" i="16" s="1"/>
  <c r="H75" i="16"/>
  <c r="M88" i="17"/>
  <c r="H9" i="16"/>
  <c r="H11" i="16" s="1"/>
  <c r="I14" i="16"/>
  <c r="M208" i="17"/>
  <c r="H25" i="16"/>
  <c r="H26" i="16" s="1"/>
  <c r="M389" i="17"/>
  <c r="H45" i="16"/>
  <c r="H46" i="16" s="1"/>
  <c r="N561" i="17"/>
  <c r="I65" i="16"/>
  <c r="I66" i="16" s="1"/>
  <c r="N611" i="17"/>
  <c r="I71" i="16"/>
  <c r="I72" i="16" s="1"/>
  <c r="M662" i="17"/>
  <c r="H80" i="16"/>
  <c r="H81" i="16" s="1"/>
  <c r="M1093" i="17"/>
  <c r="H130" i="16"/>
  <c r="H131" i="16" s="1"/>
  <c r="N2164" i="17"/>
  <c r="N45" i="17"/>
  <c r="I6" i="16" s="1"/>
  <c r="I8" i="16" s="1"/>
  <c r="H6" i="16"/>
  <c r="H8" i="16" s="1"/>
  <c r="N208" i="17"/>
  <c r="I25" i="16"/>
  <c r="I26" i="16" s="1"/>
  <c r="N389" i="17"/>
  <c r="I45" i="16"/>
  <c r="I46" i="16" s="1"/>
  <c r="M591" i="17"/>
  <c r="H68" i="16"/>
  <c r="H69" i="16" s="1"/>
  <c r="N662" i="17"/>
  <c r="I80" i="16"/>
  <c r="I81" i="16" s="1"/>
  <c r="H99" i="16"/>
  <c r="M917" i="17"/>
  <c r="H107" i="16"/>
  <c r="H108" i="16" s="1"/>
  <c r="H121" i="16"/>
  <c r="H122" i="16" s="1"/>
  <c r="M1032" i="17"/>
  <c r="N1093" i="17"/>
  <c r="I130" i="16"/>
  <c r="I131" i="16" s="1"/>
  <c r="F2164" i="17"/>
  <c r="M2185" i="17"/>
  <c r="M2187" i="17" s="1"/>
  <c r="M1948" i="17"/>
  <c r="F1499" i="17"/>
  <c r="F1500" i="17" s="1"/>
  <c r="M1340" i="17"/>
  <c r="M1396" i="17"/>
  <c r="M1172" i="17"/>
  <c r="F389" i="17"/>
  <c r="N1131" i="17"/>
  <c r="M2146" i="17"/>
  <c r="M1734" i="17"/>
  <c r="M220" i="17"/>
  <c r="F62" i="17"/>
  <c r="M404" i="17"/>
  <c r="F948" i="17"/>
  <c r="N1613" i="17"/>
  <c r="N2115" i="17"/>
  <c r="N2405" i="17"/>
  <c r="N2478" i="17"/>
  <c r="F535" i="17"/>
  <c r="F591" i="17"/>
  <c r="F855" i="17"/>
  <c r="N1224" i="17"/>
  <c r="M1164" i="17"/>
  <c r="F108" i="17"/>
  <c r="F1479" i="17"/>
  <c r="F1613" i="17"/>
  <c r="M1006" i="17"/>
  <c r="N1076" i="17"/>
  <c r="N1336" i="17"/>
  <c r="M2032" i="17"/>
  <c r="N2239" i="17"/>
  <c r="F1899" i="17"/>
  <c r="F208" i="17"/>
  <c r="N815" i="17"/>
  <c r="F1049" i="17"/>
  <c r="F1350" i="17"/>
  <c r="F1427" i="17"/>
  <c r="F338" i="17"/>
  <c r="F827" i="17"/>
  <c r="F917" i="17"/>
  <c r="M1131" i="17"/>
  <c r="M1224" i="17"/>
  <c r="F1697" i="17"/>
  <c r="M1698" i="17"/>
  <c r="N2332" i="17"/>
  <c r="M439" i="17"/>
  <c r="M468" i="17"/>
  <c r="M491" i="17"/>
  <c r="F611" i="17"/>
  <c r="F2371" i="17"/>
  <c r="M360" i="17"/>
  <c r="N1164" i="17"/>
  <c r="F1281" i="17"/>
  <c r="M1979" i="17"/>
  <c r="F2444" i="17"/>
  <c r="F146" i="17"/>
  <c r="F236" i="17"/>
  <c r="F737" i="17"/>
  <c r="F799" i="17"/>
  <c r="N1666" i="17"/>
  <c r="M1753" i="17"/>
  <c r="M1783" i="17"/>
  <c r="M1830" i="17"/>
  <c r="M1848" i="17"/>
  <c r="M1875" i="17"/>
  <c r="M1941" i="17"/>
  <c r="F2059" i="17"/>
  <c r="F2115" i="17"/>
  <c r="M62" i="17"/>
  <c r="N146" i="17"/>
  <c r="F277" i="17"/>
  <c r="F308" i="17"/>
  <c r="F634" i="17"/>
  <c r="N634" i="17"/>
  <c r="N762" i="17"/>
  <c r="N799" i="17"/>
  <c r="M815" i="17"/>
  <c r="F1006" i="17"/>
  <c r="F1076" i="17"/>
  <c r="F1131" i="17"/>
  <c r="M1150" i="17"/>
  <c r="F1206" i="17"/>
  <c r="F1224" i="17"/>
  <c r="F1255" i="17"/>
  <c r="M1336" i="17"/>
  <c r="F1382" i="17"/>
  <c r="N1479" i="17"/>
  <c r="F1546" i="17"/>
  <c r="M1666" i="17"/>
  <c r="F1999" i="17"/>
  <c r="F2032" i="17"/>
  <c r="N2059" i="17"/>
  <c r="N2082" i="17"/>
  <c r="F2332" i="17"/>
  <c r="F2426" i="17"/>
  <c r="N2444" i="17"/>
  <c r="M277" i="17"/>
  <c r="M308" i="17"/>
  <c r="N360" i="17"/>
  <c r="N423" i="17"/>
  <c r="N439" i="17"/>
  <c r="N468" i="17"/>
  <c r="N491" i="17"/>
  <c r="F561" i="17"/>
  <c r="M690" i="17"/>
  <c r="N827" i="17"/>
  <c r="M1110" i="17"/>
  <c r="F1150" i="17"/>
  <c r="F1164" i="17"/>
  <c r="M1206" i="17"/>
  <c r="F1318" i="17"/>
  <c r="M1382" i="17"/>
  <c r="F1458" i="17"/>
  <c r="F1666" i="17"/>
  <c r="N1753" i="17"/>
  <c r="N1783" i="17"/>
  <c r="N1803" i="17"/>
  <c r="N1830" i="17"/>
  <c r="N1848" i="17"/>
  <c r="N1875" i="17"/>
  <c r="N1899" i="17"/>
  <c r="N1918" i="17"/>
  <c r="N1941" i="17"/>
  <c r="N1979" i="17"/>
  <c r="F2146" i="17"/>
  <c r="M2239" i="17"/>
  <c r="M2426" i="17"/>
  <c r="F88" i="17"/>
  <c r="N277" i="17"/>
  <c r="N308" i="17"/>
  <c r="F423" i="17"/>
  <c r="F467" i="17"/>
  <c r="F491" i="17"/>
  <c r="M634" i="17"/>
  <c r="M737" i="17"/>
  <c r="M762" i="17"/>
  <c r="M799" i="17"/>
  <c r="F815" i="17"/>
  <c r="N970" i="17"/>
  <c r="N1006" i="17"/>
  <c r="N1110" i="17"/>
  <c r="M1318" i="17"/>
  <c r="N1458" i="17"/>
  <c r="M1479" i="17"/>
  <c r="N1546" i="17"/>
  <c r="N1698" i="17"/>
  <c r="F1734" i="17"/>
  <c r="F1753" i="17"/>
  <c r="F1783" i="17"/>
  <c r="F1803" i="17"/>
  <c r="F1830" i="17"/>
  <c r="F1848" i="17"/>
  <c r="F1875" i="17"/>
  <c r="F1918" i="17"/>
  <c r="F1979" i="17"/>
  <c r="N2032" i="17"/>
  <c r="M2059" i="17"/>
  <c r="M2115" i="17"/>
  <c r="F2289" i="17"/>
  <c r="F2405" i="17"/>
  <c r="N2426" i="17"/>
  <c r="M2478" i="17"/>
  <c r="M108" i="17"/>
  <c r="N88" i="17"/>
  <c r="E11" i="16"/>
  <c r="D281" i="16"/>
  <c r="D63" i="16"/>
  <c r="E203" i="16"/>
  <c r="E209" i="16"/>
  <c r="E215" i="16"/>
  <c r="E224" i="16"/>
  <c r="D282" i="16"/>
  <c r="E239" i="16"/>
  <c r="E230" i="16"/>
  <c r="E60" i="16"/>
  <c r="E253" i="16"/>
  <c r="E66" i="16"/>
  <c r="D54" i="16"/>
  <c r="F1941" i="17"/>
  <c r="F175" i="17"/>
  <c r="N1382" i="17"/>
  <c r="F360" i="17"/>
  <c r="F662" i="17"/>
  <c r="F762" i="17"/>
  <c r="N737" i="17"/>
  <c r="N1150" i="17"/>
  <c r="F2478" i="17"/>
  <c r="F439" i="17"/>
  <c r="N108" i="17"/>
  <c r="F690" i="17"/>
  <c r="F1093" i="17"/>
  <c r="N1206" i="17"/>
  <c r="M1458" i="17"/>
  <c r="F35" i="17"/>
  <c r="M827" i="17"/>
  <c r="F969" i="17"/>
  <c r="F1110" i="17"/>
  <c r="N1281" i="17"/>
  <c r="F1959" i="17"/>
  <c r="F1186" i="17"/>
  <c r="F1336" i="17"/>
  <c r="N2146" i="17"/>
  <c r="F2239" i="17"/>
  <c r="N2371" i="17"/>
  <c r="N690" i="17"/>
  <c r="M1281" i="17"/>
  <c r="M2082" i="17"/>
  <c r="F2082" i="17"/>
  <c r="E154" i="16" l="1"/>
  <c r="E171" i="16"/>
  <c r="E173" i="16" s="1"/>
  <c r="E175" i="16"/>
  <c r="E176" i="16" s="1"/>
  <c r="E98" i="16"/>
  <c r="E47" i="16"/>
  <c r="E279" i="16"/>
  <c r="E280" i="16" s="1"/>
  <c r="E166" i="16"/>
  <c r="E167" i="16" s="1"/>
  <c r="E28" i="16"/>
  <c r="E29" i="16" s="1"/>
  <c r="E115" i="16"/>
  <c r="E116" i="16" s="1"/>
  <c r="E56" i="16"/>
  <c r="E57" i="16" s="1"/>
  <c r="E181" i="16"/>
  <c r="E193" i="16"/>
  <c r="E226" i="16"/>
  <c r="E227" i="16" s="1"/>
  <c r="E144" i="16"/>
  <c r="E54" i="16"/>
  <c r="I86" i="16"/>
  <c r="I87" i="16" s="1"/>
  <c r="E188" i="16"/>
  <c r="E140" i="16"/>
  <c r="E119" i="16"/>
  <c r="E93" i="16"/>
  <c r="E13" i="16"/>
  <c r="E14" i="16" s="1"/>
  <c r="E259" i="16"/>
  <c r="E170" i="16"/>
  <c r="E122" i="16"/>
  <c r="E197" i="16"/>
  <c r="E111" i="16"/>
  <c r="E63" i="16"/>
  <c r="E8" i="16"/>
  <c r="E245" i="16"/>
  <c r="E221" i="16"/>
  <c r="E206" i="16"/>
  <c r="M708" i="17"/>
  <c r="M709" i="17" s="1"/>
  <c r="E143" i="16"/>
  <c r="E35" i="16"/>
  <c r="E26" i="16"/>
  <c r="E251" i="16"/>
  <c r="E128" i="16"/>
  <c r="E191" i="16"/>
  <c r="E96" i="16"/>
  <c r="E51" i="16"/>
  <c r="E248" i="16"/>
  <c r="E125" i="16"/>
  <c r="E20" i="16"/>
  <c r="F2484" i="17"/>
  <c r="F2210" i="17"/>
  <c r="N62" i="17"/>
  <c r="N2185" i="17"/>
  <c r="N2187" i="17" s="1"/>
  <c r="N1948" i="17"/>
  <c r="M1959" i="17"/>
  <c r="H226" i="16" s="1"/>
  <c r="H227" i="16" s="1"/>
  <c r="N1396" i="17"/>
  <c r="N1397" i="17" s="1"/>
  <c r="M1397" i="17"/>
  <c r="N1340" i="17"/>
  <c r="N1349" i="17" s="1"/>
  <c r="M1349" i="17"/>
  <c r="E233" i="16"/>
  <c r="N1172" i="17"/>
  <c r="N1174" i="17" s="1"/>
  <c r="M1174" i="17"/>
  <c r="N1048" i="17"/>
  <c r="M1048" i="17"/>
  <c r="E43" i="16"/>
  <c r="E218" i="16"/>
  <c r="E105" i="16"/>
  <c r="E69" i="16"/>
  <c r="E274" i="16"/>
  <c r="E185" i="16"/>
  <c r="N220" i="17"/>
  <c r="N235" i="17" s="1"/>
  <c r="I28" i="16" s="1"/>
  <c r="I29" i="16" s="1"/>
  <c r="M235" i="17"/>
  <c r="H28" i="16" s="1"/>
  <c r="H29" i="16" s="1"/>
  <c r="N404" i="17"/>
  <c r="N405" i="17" s="1"/>
  <c r="I47" i="16" s="1"/>
  <c r="I48" i="16" s="1"/>
  <c r="M405" i="17"/>
  <c r="H47" i="16" s="1"/>
  <c r="H48" i="16" s="1"/>
  <c r="F468" i="17"/>
  <c r="F1698" i="17"/>
  <c r="E152" i="16"/>
  <c r="F1256" i="17"/>
  <c r="E265" i="16"/>
  <c r="E236" i="16"/>
  <c r="D283" i="16"/>
  <c r="E242" i="16"/>
  <c r="F970" i="17"/>
  <c r="F2485" i="17"/>
  <c r="F1960" i="17"/>
  <c r="E261" i="16" l="1"/>
  <c r="E262" i="16" s="1"/>
  <c r="E130" i="16"/>
  <c r="E131" i="16" s="1"/>
  <c r="E270" i="16"/>
  <c r="E271" i="16" s="1"/>
  <c r="E71" i="16"/>
  <c r="E72" i="16" s="1"/>
  <c r="E133" i="16"/>
  <c r="E134" i="16" s="1"/>
  <c r="E178" i="16"/>
  <c r="E179" i="16" s="1"/>
  <c r="E160" i="16"/>
  <c r="E161" i="16" s="1"/>
  <c r="E157" i="16"/>
  <c r="E158" i="16" s="1"/>
  <c r="E74" i="16"/>
  <c r="E75" i="16" s="1"/>
  <c r="E101" i="16"/>
  <c r="E102" i="16" s="1"/>
  <c r="E145" i="16"/>
  <c r="E146" i="16" s="1"/>
  <c r="E254" i="16"/>
  <c r="E256" i="16" s="1"/>
  <c r="E86" i="16"/>
  <c r="E83" i="16"/>
  <c r="E84" i="16" s="1"/>
  <c r="E163" i="16"/>
  <c r="E164" i="16" s="1"/>
  <c r="E37" i="16"/>
  <c r="E38" i="16" s="1"/>
  <c r="H86" i="16"/>
  <c r="H87" i="16" s="1"/>
  <c r="E3" i="16"/>
  <c r="E5" i="16" s="1"/>
  <c r="F2486" i="17"/>
  <c r="M2210" i="17"/>
  <c r="H254" i="16"/>
  <c r="H256" i="16" s="1"/>
  <c r="N2210" i="17"/>
  <c r="I254" i="16"/>
  <c r="I256" i="16" s="1"/>
  <c r="M1427" i="17"/>
  <c r="H171" i="16"/>
  <c r="H173" i="16" s="1"/>
  <c r="N1427" i="17"/>
  <c r="I171" i="16"/>
  <c r="I173" i="16" s="1"/>
  <c r="M1350" i="17"/>
  <c r="H166" i="16"/>
  <c r="H167" i="16" s="1"/>
  <c r="N1350" i="17"/>
  <c r="I166" i="16"/>
  <c r="I167" i="16" s="1"/>
  <c r="N1049" i="17"/>
  <c r="I124" i="16"/>
  <c r="I125" i="16" s="1"/>
  <c r="M2484" i="17"/>
  <c r="H144" i="16"/>
  <c r="N2484" i="17"/>
  <c r="I144" i="16"/>
  <c r="M1049" i="17"/>
  <c r="H124" i="16"/>
  <c r="H125" i="16" s="1"/>
  <c r="M236" i="17"/>
  <c r="M2485" i="17"/>
  <c r="N236" i="17"/>
  <c r="N1959" i="17"/>
  <c r="M1960" i="17"/>
  <c r="N1960" i="17" s="1"/>
  <c r="M1186" i="17"/>
  <c r="N1186" i="17"/>
  <c r="E48" i="16"/>
  <c r="E155" i="16"/>
  <c r="M406" i="17"/>
  <c r="N406" i="17"/>
  <c r="E99" i="16"/>
  <c r="E194" i="16"/>
  <c r="E87" i="16"/>
  <c r="E182" i="16"/>
  <c r="E282" i="16" l="1"/>
  <c r="I146" i="16"/>
  <c r="I281" i="16"/>
  <c r="H146" i="16"/>
  <c r="H281" i="16"/>
  <c r="H282" i="16"/>
  <c r="N2485" i="17"/>
  <c r="N2486" i="17" s="1"/>
  <c r="I226" i="16"/>
  <c r="I227" i="16" s="1"/>
  <c r="M2486" i="17"/>
  <c r="H283" i="16" l="1"/>
  <c r="I282" i="16"/>
  <c r="I283" i="16" s="1"/>
  <c r="D19" i="4"/>
  <c r="D24" i="5" l="1"/>
  <c r="E14" i="1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83" i="3" s="1"/>
  <c r="E55" i="3"/>
  <c r="E54" i="3"/>
  <c r="B55" i="3"/>
  <c r="A55" i="3"/>
  <c r="B54" i="3"/>
  <c r="D50" i="1"/>
  <c r="D19" i="5" l="1"/>
  <c r="D20" i="5"/>
  <c r="E22" i="3"/>
  <c r="D23" i="5"/>
  <c r="E7" i="1"/>
  <c r="E9" i="1" s="1"/>
  <c r="F790" i="15"/>
  <c r="E790" i="15"/>
  <c r="E783" i="15"/>
  <c r="F781" i="15"/>
  <c r="F783" i="15" s="1"/>
  <c r="F776" i="15"/>
  <c r="E776" i="15"/>
  <c r="E767" i="15"/>
  <c r="F766" i="15"/>
  <c r="F767" i="15" s="1"/>
  <c r="F757" i="15"/>
  <c r="E757" i="15"/>
  <c r="F752" i="15"/>
  <c r="E752" i="15"/>
  <c r="F742" i="15"/>
  <c r="E732" i="15"/>
  <c r="F728" i="15"/>
  <c r="F732" i="15" s="1"/>
  <c r="F725" i="15"/>
  <c r="E725" i="15"/>
  <c r="E707" i="15"/>
  <c r="F706" i="15"/>
  <c r="F705" i="15"/>
  <c r="F702" i="15"/>
  <c r="E702" i="15"/>
  <c r="E698" i="15"/>
  <c r="F696" i="15"/>
  <c r="F698" i="15" s="1"/>
  <c r="F691" i="15"/>
  <c r="E691" i="15"/>
  <c r="F686" i="15"/>
  <c r="E686" i="15"/>
  <c r="F681" i="15"/>
  <c r="E681" i="15"/>
  <c r="F675" i="15"/>
  <c r="E675" i="15"/>
  <c r="F643" i="15"/>
  <c r="E643" i="15"/>
  <c r="E625" i="15"/>
  <c r="F619" i="15"/>
  <c r="F606" i="15"/>
  <c r="F599" i="15"/>
  <c r="E599" i="15"/>
  <c r="E543" i="15"/>
  <c r="E526" i="15"/>
  <c r="F518" i="15"/>
  <c r="F526" i="15" s="1"/>
  <c r="F513" i="15"/>
  <c r="D41" i="14" s="1"/>
  <c r="F505" i="15"/>
  <c r="E505" i="15"/>
  <c r="E489" i="15"/>
  <c r="F481" i="15"/>
  <c r="F476" i="15"/>
  <c r="E473" i="15"/>
  <c r="F460" i="15"/>
  <c r="F473" i="15" s="1"/>
  <c r="E457" i="15"/>
  <c r="F445" i="15"/>
  <c r="F457" i="15" s="1"/>
  <c r="F438" i="15"/>
  <c r="E438" i="15"/>
  <c r="F422" i="15"/>
  <c r="E422" i="15"/>
  <c r="F406" i="15"/>
  <c r="E406" i="15"/>
  <c r="E389" i="15"/>
  <c r="F378" i="15"/>
  <c r="F389" i="15" s="1"/>
  <c r="E373" i="15"/>
  <c r="F356" i="15"/>
  <c r="E356" i="15"/>
  <c r="E341" i="15"/>
  <c r="F334" i="15"/>
  <c r="F341" i="15" s="1"/>
  <c r="F325" i="15"/>
  <c r="E325" i="15"/>
  <c r="F310" i="15"/>
  <c r="E310" i="15"/>
  <c r="E294" i="15"/>
  <c r="F286" i="15"/>
  <c r="F294" i="15" s="1"/>
  <c r="E277" i="15"/>
  <c r="F269" i="15"/>
  <c r="F277" i="15" s="1"/>
  <c r="F261" i="15"/>
  <c r="E261" i="15"/>
  <c r="F245" i="15"/>
  <c r="F246" i="15" s="1"/>
  <c r="E241" i="15"/>
  <c r="F240" i="15"/>
  <c r="F241" i="15" s="1"/>
  <c r="E237" i="15"/>
  <c r="F235" i="15"/>
  <c r="F237" i="15" s="1"/>
  <c r="F231" i="15"/>
  <c r="E231" i="15"/>
  <c r="F225" i="15"/>
  <c r="E225" i="15"/>
  <c r="F222" i="15"/>
  <c r="E197" i="15"/>
  <c r="F186" i="15"/>
  <c r="F197" i="15" s="1"/>
  <c r="F145" i="15"/>
  <c r="E145" i="15"/>
  <c r="E127" i="15"/>
  <c r="F124" i="15"/>
  <c r="F127" i="15" s="1"/>
  <c r="E116" i="15"/>
  <c r="F114" i="15"/>
  <c r="F116" i="15" s="1"/>
  <c r="F109" i="15"/>
  <c r="E109" i="15"/>
  <c r="F100" i="15"/>
  <c r="E100" i="15"/>
  <c r="F79" i="15"/>
  <c r="E79" i="15"/>
  <c r="F73" i="15"/>
  <c r="E73" i="15"/>
  <c r="F68" i="15"/>
  <c r="E68" i="15"/>
  <c r="F61" i="15"/>
  <c r="E61" i="15"/>
  <c r="F57" i="15"/>
  <c r="E57" i="15"/>
  <c r="F43" i="15"/>
  <c r="E43" i="15"/>
  <c r="E49" i="15" s="1"/>
  <c r="F41" i="15"/>
  <c r="F39" i="15"/>
  <c r="E36" i="15"/>
  <c r="F34" i="15"/>
  <c r="F36" i="15" s="1"/>
  <c r="F31" i="15"/>
  <c r="E31" i="15"/>
  <c r="F22" i="15"/>
  <c r="E22" i="15"/>
  <c r="C67" i="14"/>
  <c r="D63" i="14"/>
  <c r="C63" i="14"/>
  <c r="D62" i="14"/>
  <c r="C62" i="14"/>
  <c r="D61" i="14"/>
  <c r="C61" i="14"/>
  <c r="D60" i="14"/>
  <c r="C60" i="14"/>
  <c r="D59" i="14"/>
  <c r="C59" i="14"/>
  <c r="D58" i="14"/>
  <c r="C58" i="14"/>
  <c r="D57" i="14"/>
  <c r="C57" i="14"/>
  <c r="D56" i="14"/>
  <c r="C56" i="14"/>
  <c r="D55" i="14"/>
  <c r="C55" i="14"/>
  <c r="D54" i="14"/>
  <c r="C54" i="14"/>
  <c r="D53" i="14"/>
  <c r="C53" i="14"/>
  <c r="D52" i="14"/>
  <c r="C52" i="14"/>
  <c r="D51" i="14"/>
  <c r="C51" i="14"/>
  <c r="D50" i="14"/>
  <c r="C50" i="14"/>
  <c r="D49" i="14"/>
  <c r="C49" i="14"/>
  <c r="D48" i="14"/>
  <c r="C48" i="14"/>
  <c r="D47" i="14"/>
  <c r="C47" i="14"/>
  <c r="D46" i="14"/>
  <c r="C46" i="14"/>
  <c r="D45" i="14"/>
  <c r="C45" i="14"/>
  <c r="D44" i="14"/>
  <c r="C44" i="14"/>
  <c r="C43" i="14"/>
  <c r="D42" i="14"/>
  <c r="C42" i="14"/>
  <c r="C41" i="14"/>
  <c r="D40" i="14"/>
  <c r="C40" i="14"/>
  <c r="D39" i="14"/>
  <c r="C39" i="14"/>
  <c r="D38" i="14"/>
  <c r="C38" i="14"/>
  <c r="D37" i="14"/>
  <c r="C37" i="14"/>
  <c r="D36" i="14"/>
  <c r="C36" i="14"/>
  <c r="D35" i="14"/>
  <c r="C35" i="14"/>
  <c r="D34" i="14"/>
  <c r="C34" i="14"/>
  <c r="D33" i="14"/>
  <c r="C33" i="14"/>
  <c r="D32" i="14"/>
  <c r="C32" i="14"/>
  <c r="D31" i="14"/>
  <c r="C31" i="14"/>
  <c r="D30" i="14"/>
  <c r="C30" i="14"/>
  <c r="D29" i="14"/>
  <c r="C29" i="14"/>
  <c r="D28" i="14"/>
  <c r="C28" i="14"/>
  <c r="D27" i="14"/>
  <c r="C27" i="14"/>
  <c r="D26" i="14"/>
  <c r="C26" i="14"/>
  <c r="D25" i="14"/>
  <c r="C25" i="14"/>
  <c r="D24" i="14"/>
  <c r="C24" i="14"/>
  <c r="D23" i="14"/>
  <c r="C23" i="14"/>
  <c r="D22" i="14"/>
  <c r="C22" i="14"/>
  <c r="D21" i="14"/>
  <c r="C21" i="14"/>
  <c r="D20" i="14"/>
  <c r="C20" i="14"/>
  <c r="D19" i="14"/>
  <c r="C19" i="14"/>
  <c r="D18" i="14"/>
  <c r="C18" i="14"/>
  <c r="D17" i="14"/>
  <c r="C17" i="14"/>
  <c r="D16" i="14"/>
  <c r="C16" i="14"/>
  <c r="D15" i="14"/>
  <c r="C15" i="14"/>
  <c r="D14" i="14"/>
  <c r="C14" i="14"/>
  <c r="D13" i="14"/>
  <c r="C13" i="14"/>
  <c r="D12" i="14"/>
  <c r="C12" i="14"/>
  <c r="D11" i="14"/>
  <c r="C11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E76" i="1" l="1"/>
  <c r="F49" i="15"/>
  <c r="F791" i="15" s="1"/>
  <c r="F794" i="15" s="1"/>
  <c r="F489" i="15"/>
  <c r="F625" i="15"/>
  <c r="F707" i="15"/>
  <c r="D64" i="14"/>
  <c r="D67" i="14" s="1"/>
  <c r="C64" i="14"/>
  <c r="E791" i="15"/>
  <c r="E794" i="15" s="1"/>
  <c r="E53" i="3" l="1"/>
  <c r="E52" i="3"/>
  <c r="E51" i="3"/>
  <c r="E50" i="3"/>
  <c r="E49" i="3"/>
  <c r="E48" i="3"/>
  <c r="E47" i="3"/>
  <c r="E46" i="3"/>
  <c r="E45" i="3"/>
  <c r="E40" i="3"/>
  <c r="E39" i="3"/>
  <c r="E38" i="3"/>
  <c r="E37" i="3"/>
  <c r="E36" i="3"/>
  <c r="E35" i="3"/>
  <c r="E34" i="3"/>
  <c r="E33" i="3"/>
  <c r="E32" i="3"/>
  <c r="E28" i="3"/>
  <c r="E27" i="3"/>
  <c r="E26" i="3"/>
  <c r="E25" i="3"/>
  <c r="D17" i="5"/>
  <c r="D25" i="5" s="1"/>
  <c r="D6" i="5"/>
  <c r="E8" i="3" s="1"/>
  <c r="D22" i="5"/>
  <c r="D21" i="5"/>
  <c r="E58" i="3" l="1"/>
  <c r="E42" i="3"/>
  <c r="E18" i="3"/>
  <c r="E29" i="3"/>
  <c r="D5" i="5"/>
  <c r="D8" i="4"/>
  <c r="D7" i="5" l="1"/>
  <c r="D12" i="5" s="1"/>
  <c r="E84" i="3"/>
  <c r="D22" i="4" s="1"/>
  <c r="D6" i="4"/>
  <c r="D9" i="4" l="1"/>
  <c r="D11" i="4" s="1"/>
  <c r="E9" i="3"/>
  <c r="E16" i="3" s="1"/>
  <c r="C30" i="5"/>
  <c r="D9" i="3"/>
  <c r="C25" i="5" l="1"/>
  <c r="C7" i="5" l="1"/>
  <c r="D22" i="3" l="1"/>
  <c r="D84" i="3" l="1"/>
  <c r="D5" i="1" l="1"/>
  <c r="D9" i="1" s="1"/>
  <c r="C9" i="4" l="1"/>
  <c r="C11" i="5" l="1"/>
  <c r="C12" i="5" s="1"/>
  <c r="D14" i="1" l="1"/>
  <c r="D76" i="1" s="1"/>
  <c r="C19" i="4" l="1"/>
  <c r="C11" i="4" s="1"/>
  <c r="C10" i="4" l="1"/>
  <c r="E106" i="16"/>
  <c r="E108" i="16" s="1"/>
  <c r="E281" i="16" l="1"/>
  <c r="E283" i="16" l="1"/>
  <c r="I917" i="17"/>
  <c r="I872" i="17"/>
  <c r="I2484" i="17"/>
  <c r="I2486" i="17"/>
  <c r="H917" i="17"/>
  <c r="H872" i="17"/>
  <c r="H2484" i="17"/>
  <c r="H2486" i="17"/>
  <c r="G917" i="17"/>
  <c r="G872" i="17"/>
  <c r="G2484" i="17"/>
  <c r="G2486" i="17"/>
</calcChain>
</file>

<file path=xl/comments1.xml><?xml version="1.0" encoding="utf-8"?>
<comments xmlns="http://schemas.openxmlformats.org/spreadsheetml/2006/main">
  <authors>
    <author>2009</author>
  </authors>
  <commentList>
    <comment ref="G2143" authorId="0" shapeId="0">
      <text>
        <r>
          <rPr>
            <b/>
            <sz val="9"/>
            <color indexed="81"/>
            <rFont val="Tahoma"/>
            <family val="2"/>
          </rPr>
          <t>2009:</t>
        </r>
        <r>
          <rPr>
            <sz val="9"/>
            <color indexed="81"/>
            <rFont val="Tahoma"/>
            <family val="2"/>
          </rPr>
          <t xml:space="preserve">
Brought from MEST</t>
        </r>
      </text>
    </comment>
  </commentList>
</comments>
</file>

<file path=xl/sharedStrings.xml><?xml version="1.0" encoding="utf-8"?>
<sst xmlns="http://schemas.openxmlformats.org/spreadsheetml/2006/main" count="8214" uniqueCount="2647">
  <si>
    <t>S/NO</t>
  </si>
  <si>
    <t>REVENUE</t>
  </si>
  <si>
    <t>2015APPROVED SUPPLEMENTARY                       BUDGET</t>
  </si>
  <si>
    <t>Opening Balance</t>
  </si>
  <si>
    <t>Statutory Allocation from Federation Account</t>
  </si>
  <si>
    <t>Value Added Tax</t>
  </si>
  <si>
    <t>i</t>
  </si>
  <si>
    <t>ii</t>
  </si>
  <si>
    <t>iii</t>
  </si>
  <si>
    <t>iv</t>
  </si>
  <si>
    <t>v</t>
  </si>
  <si>
    <t>Total for Internal Loans</t>
  </si>
  <si>
    <t>External Loans</t>
  </si>
  <si>
    <t>vi</t>
  </si>
  <si>
    <t>vii</t>
  </si>
  <si>
    <t>viii</t>
  </si>
  <si>
    <t>ix</t>
  </si>
  <si>
    <t>xii</t>
  </si>
  <si>
    <t>xiii</t>
  </si>
  <si>
    <t>x</t>
  </si>
  <si>
    <t>xi</t>
  </si>
  <si>
    <t>Kaduna State Power Supply Company Exim Bank (India)</t>
  </si>
  <si>
    <t>Total for External Loans</t>
  </si>
  <si>
    <t>External Grants</t>
  </si>
  <si>
    <t>UNICEF Assisted Programmes</t>
  </si>
  <si>
    <t>Food and Nutrition Programme (UNICEF/DFID)</t>
  </si>
  <si>
    <t>Global Partnership on Education</t>
  </si>
  <si>
    <t>Internal Grants</t>
  </si>
  <si>
    <t>xiv</t>
  </si>
  <si>
    <t>xv</t>
  </si>
  <si>
    <t>xvi</t>
  </si>
  <si>
    <t>xvii</t>
  </si>
  <si>
    <t>xviii</t>
  </si>
  <si>
    <t>xix</t>
  </si>
  <si>
    <t>xx</t>
  </si>
  <si>
    <t>Contribution by 10 LGAs for Refuse Evacuation</t>
  </si>
  <si>
    <t>2015 Special Intervention (KASU)</t>
  </si>
  <si>
    <t>2015 Normal Intervention (KASU)</t>
  </si>
  <si>
    <t>Total for External Grants</t>
  </si>
  <si>
    <t>Strengthening Routine Immunization</t>
  </si>
  <si>
    <t>Tertiary Education Trust Fund (KASU) 2016 Normal Intervention</t>
  </si>
  <si>
    <t>Tertiary Education Trust Fund (NBPZ) Normal Intervention</t>
  </si>
  <si>
    <t>Total for Internal Grants</t>
  </si>
  <si>
    <t>RECURRENT EXPENDITURE</t>
  </si>
  <si>
    <t>TOTAL RECURRENT EXPENDITURE</t>
  </si>
  <si>
    <t>Consolidated Revenue Fund Charges</t>
  </si>
  <si>
    <t>Personnel Cost</t>
  </si>
  <si>
    <t>Overhead Cost</t>
  </si>
  <si>
    <t>10% to Local Government Joint Council</t>
  </si>
  <si>
    <t>A) RECURRENT ACCOUNT</t>
  </si>
  <si>
    <t>Add Internally Generated Revenue for the year</t>
  </si>
  <si>
    <t>TOTAL RECURRENT REVENUE</t>
  </si>
  <si>
    <t>Less: Transfer to Capital Development Fund</t>
  </si>
  <si>
    <t>Less: Public Debt Charges (Repayment)</t>
  </si>
  <si>
    <t>Less: Recurrent Expenditure (Personnel and Overhead Cost)</t>
  </si>
  <si>
    <t>Less: Statutory Appropriation to Local Governments</t>
  </si>
  <si>
    <t>Less:  Consolidated Revenue Fund Charges</t>
  </si>
  <si>
    <t>RECURRENT BUDGET SURPLUS</t>
  </si>
  <si>
    <t>Transfer from Recurrent Surplus</t>
  </si>
  <si>
    <t xml:space="preserve">Opening Balance </t>
  </si>
  <si>
    <t>Less amount to be transferred to Capital Development Fund</t>
  </si>
  <si>
    <t>NET RECURRENT REVENUE</t>
  </si>
  <si>
    <t>Public Debt Charges</t>
  </si>
  <si>
    <t>B) CAPITAL ACCOUNT</t>
  </si>
  <si>
    <t>Estimated Receipts</t>
  </si>
  <si>
    <t>Estimated Expenditure</t>
  </si>
  <si>
    <t>CONSOLIDATED FINANCIAL STATEMENT</t>
  </si>
  <si>
    <t>Solar for Health Care Initiative to Improve Health Care Delivery (DFID Grant)</t>
  </si>
  <si>
    <t xml:space="preserve"> </t>
  </si>
  <si>
    <t>Internally Generated Revenue</t>
  </si>
  <si>
    <t>Others</t>
  </si>
  <si>
    <t>Grants for Development Programmes</t>
  </si>
  <si>
    <t>Provision of Infrastructure at New Layouts</t>
  </si>
  <si>
    <t>DESCRIPTION</t>
  </si>
  <si>
    <t>Statutory Allocation</t>
  </si>
  <si>
    <t>Less: Recurrent Expenditure</t>
  </si>
  <si>
    <t>Total</t>
  </si>
  <si>
    <t>Recurrent Budget Surplus</t>
  </si>
  <si>
    <t>CAPITAL ACCOUNT</t>
  </si>
  <si>
    <t>Recurrent Budget</t>
  </si>
  <si>
    <t>Capital Budget</t>
  </si>
  <si>
    <t>Total Expenditure</t>
  </si>
  <si>
    <t>FINANCIAL STATEMENT</t>
  </si>
  <si>
    <t>Internal Loans</t>
  </si>
  <si>
    <t xml:space="preserve">Grand Total </t>
  </si>
  <si>
    <t>ESSPIN Joint Project  (DFID Grant)</t>
  </si>
  <si>
    <t xml:space="preserve">2016 APPROVED ESTIMATES </t>
  </si>
  <si>
    <t>UBEC Intervention on Teachers' Profesional Development</t>
  </si>
  <si>
    <t>Tertiary Education Trust Fund (KASU) 2016 Special  Intervention</t>
  </si>
  <si>
    <t>Tertiary Education Trust Fund (COE) Normal Intervention</t>
  </si>
  <si>
    <t>Tertiary Education Trust Fund (COE) Special Intervention</t>
  </si>
  <si>
    <t>2016 APPROVED ESTIMATES</t>
  </si>
  <si>
    <t>Opening Balance Account Consolidated for the year</t>
  </si>
  <si>
    <t>Sanitation, Hygiene and Water in Nigeria (SHAWN II)- UNICEF</t>
  </si>
  <si>
    <t>B</t>
  </si>
  <si>
    <t>A</t>
  </si>
  <si>
    <t>RECURRENT ACCOUNT</t>
  </si>
  <si>
    <t>SUMMARY OF RECIEPTS</t>
  </si>
  <si>
    <t>SUMMARY OF RECURRENT AND CAPITAL ACCOUNTS</t>
  </si>
  <si>
    <t>GENERAL SUMMARY</t>
  </si>
  <si>
    <t>KADUNA STATE LEGISLATURE</t>
  </si>
  <si>
    <t>SHARIA COURT OF APPEAL</t>
  </si>
  <si>
    <t>CUSTOMARY COURT OF APPEAL</t>
  </si>
  <si>
    <t>HIGH COURT OF JUSTICE</t>
  </si>
  <si>
    <t>MINISTRY OF JUSTICE</t>
  </si>
  <si>
    <t>KADUNA STATE BUREAU OF STATISTICS</t>
  </si>
  <si>
    <t>MINISTRY OF BUDGET AND PLANNING</t>
  </si>
  <si>
    <t>STATE EMERGENCY MANAGEMENT AGENCY</t>
  </si>
  <si>
    <t>STATE INDEPENDENT ELECTORAL COMMISSION</t>
  </si>
  <si>
    <t>MINISTRY OF FINANCE</t>
  </si>
  <si>
    <t>KADUNA STATE PUBLIC SERVICE INSTITUTE (KAPSI)</t>
  </si>
  <si>
    <t>OFFICE OF THE HEAD OF SERVICE</t>
  </si>
  <si>
    <t>KADUNA STATE ENVIRONMENTAL TRAFFIC AND LAW ENFORCEMENT AGENCY (KASTELEA)</t>
  </si>
  <si>
    <t>GOVERNMENT PRINTING DEPARTMENT</t>
  </si>
  <si>
    <t>KADUNA STATE MEDIA CORPORATION (KSMC)</t>
  </si>
  <si>
    <t>RURAL WATER SUPPLY AND SANITATION AGENCY (RUWASSA)</t>
  </si>
  <si>
    <t>MINISTRY OF WATER RESOURCES</t>
  </si>
  <si>
    <t>MINISTRY OF ENVIRONMENT AND NATURAL RESOURCES</t>
  </si>
  <si>
    <t>KADUNA STATE REHABILITATION BOARD</t>
  </si>
  <si>
    <t>MINISTRY OF WOMEN AFFAIRS AND SOCIAL DEVELOPMENT</t>
  </si>
  <si>
    <t>MINISTRY OF YOUTH, SPORTS AND CULTURE</t>
  </si>
  <si>
    <t>KADUNA STATE AIDS CONTROL AGENCY (KADSACA)</t>
  </si>
  <si>
    <t>DRUGS AND MEDICAL SUPPLIES MANAGEMENT AGENCY</t>
  </si>
  <si>
    <t>MINISTRY OF HEALTH AND HUMAN SERVICES</t>
  </si>
  <si>
    <t>NUHU BAMALLI POLYTECHNIC, ZARIA</t>
  </si>
  <si>
    <t>STATE UNIVERSAL BASIC EDUCATION BOARD (SUBEB)</t>
  </si>
  <si>
    <t>PRIVATE SCHOOLS BOARD</t>
  </si>
  <si>
    <t>KADUNA STATE SCHOLARSHIP BOARD</t>
  </si>
  <si>
    <t>KADUNA STATE AGENCY FOR MASS LITERACY</t>
  </si>
  <si>
    <t>KADUNA STATE LIBRARY BOARD</t>
  </si>
  <si>
    <t>KADUNA STATE UNIVERSITY</t>
  </si>
  <si>
    <t>MINISTRY OF EDUCATION, SCIENCE AND TECHNOLOGY</t>
  </si>
  <si>
    <t>MINISTRY OF WORKS, HOUSING AND TRANSPORT</t>
  </si>
  <si>
    <t>KADUNA STATE FOREST MANAGEMENT PROJECT</t>
  </si>
  <si>
    <t>MINISTRY OF AGRICULTURE AND FORESTRY</t>
  </si>
  <si>
    <t>SECTORAL SUMMARY</t>
  </si>
  <si>
    <t>PRIMARY HEALTH CARE AGENCY</t>
  </si>
  <si>
    <t>SCIENCE SECONDARY SCHOOL, IKARA</t>
  </si>
  <si>
    <t>TEACHERS SERVICE BOARD</t>
  </si>
  <si>
    <t>RIMI COLLEGE, KADUNA</t>
  </si>
  <si>
    <t>GOVERNMENT SECONDARY SCHOOL, FADAN KAJE</t>
  </si>
  <si>
    <t>GOVERNMENT SECONDARY SCHOOL, KAGORO</t>
  </si>
  <si>
    <t>QUEEN AMINA COLLEGE, KADUNA</t>
  </si>
  <si>
    <t>GOVERNMENT COLLEGE, KADUNA</t>
  </si>
  <si>
    <t>SARDAUNA MEMORIAL COLLEGE, KADUNA</t>
  </si>
  <si>
    <t>BAREWA COLLEGE, ZARIA</t>
  </si>
  <si>
    <t>KADUNA CAPITAL SCHOOL</t>
  </si>
  <si>
    <t>COLLEGE OF EDUCATION, GIDAN WAYA</t>
  </si>
  <si>
    <t>JUDICIAL SERVICE COMMISSION</t>
  </si>
  <si>
    <t>TENDERS BOARD</t>
  </si>
  <si>
    <t>KADUNA STATE AGRICULTURAL DEVELOPMENT PROJECT</t>
  </si>
  <si>
    <t>LOCAL GOVERNMENT SERVICE COMMISSION</t>
  </si>
  <si>
    <t>OFFICE OF THE AUDITOR GENERAL (LOCAL GOVERNMENTS)</t>
  </si>
  <si>
    <t>LOCAL GOVERNMENT STAFF PENSION BUREAU</t>
  </si>
  <si>
    <t>KADUNA STATE ASSEMBLY SERVICE COMMISSION</t>
  </si>
  <si>
    <t>CHRISTIAN PILGRIMS WELFARE BOARD</t>
  </si>
  <si>
    <t>MUSLIMS PILGRIMS WELFARE BOARD</t>
  </si>
  <si>
    <t>BUREAU OF STATE PENSION</t>
  </si>
  <si>
    <t>BUREAU OF PUBLIC SERVICE REFORMS</t>
  </si>
  <si>
    <t>INDUSTRIALIZATION AND MICRO CREDIT MANAGEMENT BOARD</t>
  </si>
  <si>
    <t>KADUNA STATE MEDIA CORPORATION</t>
  </si>
  <si>
    <t>GOVERNMENT HOUSE</t>
  </si>
  <si>
    <t>APPROVED ESTIMATES 2016</t>
  </si>
  <si>
    <t>Grand Total</t>
  </si>
  <si>
    <t>Value Added Tax (VAT)</t>
  </si>
  <si>
    <t>GRAND TOTAL</t>
  </si>
  <si>
    <t>PROPOSED ESTIMATES 2017</t>
  </si>
  <si>
    <t>Transfer from Recurrent Budget Surplus</t>
  </si>
  <si>
    <t>Internal Loans and Credit</t>
  </si>
  <si>
    <t>Survey and Demarcation for Layouts/Provision of Infrastructure at New Layout</t>
  </si>
  <si>
    <t xml:space="preserve">Total Transfer from Recurrent Budget Surplus </t>
  </si>
  <si>
    <t>Total Value Added Tax (VAT)</t>
  </si>
  <si>
    <t>Agricultural loan scheme (Bank of Agriculture)</t>
  </si>
  <si>
    <t>Power Intervention Fund (CBN Loan)</t>
  </si>
  <si>
    <t>Total Internal Loans</t>
  </si>
  <si>
    <t xml:space="preserve">External Loans </t>
  </si>
  <si>
    <t>Zaria Water Expansion Project (IsDB)</t>
  </si>
  <si>
    <t>FADAMA III Project(World Bank)</t>
  </si>
  <si>
    <t xml:space="preserve">Public Sector Governance Reforms &amp; Development Project (World Bank) </t>
  </si>
  <si>
    <t>Lead States Commercial  Agriculture Development Project (World Bank)</t>
  </si>
  <si>
    <t>Kaduna Rural Access and Mobility Project (KADRAMP-World Bank)</t>
  </si>
  <si>
    <t>Zaria Water Expansion Project (AfDB)</t>
  </si>
  <si>
    <t>Construction of 300-Bed Specialist Hospital Project (IsDB)</t>
  </si>
  <si>
    <t>Development of 6No Science Secondary Schools (IsDB)</t>
  </si>
  <si>
    <t>Total External Loans</t>
  </si>
  <si>
    <t>Tuberculosis &amp; Leprosy Control (Netherlands leprosy control)</t>
  </si>
  <si>
    <t>Onchocerciasis Control (NGDO with WHO)</t>
  </si>
  <si>
    <t>Solar for Healthcare Initiative to Improve Healthcare delivery (DFID Grant)</t>
  </si>
  <si>
    <t>Sanitation, Hygiene and Water in Nigeria (SHAWN II) - UNICEF</t>
  </si>
  <si>
    <t>ESSPIN Joint Project (DFID)</t>
  </si>
  <si>
    <t>Total External Grants</t>
  </si>
  <si>
    <t>UBEC Intervention on Teachers' Professional Development</t>
  </si>
  <si>
    <t>Tertiary Education Trust Fund (KASU) 2016 Special Intervention</t>
  </si>
  <si>
    <t>Total Internal Grants</t>
  </si>
  <si>
    <t>SURVEY AND DEMARCATION FOR LAYOUTS/PROVISION OF INFRASTRUCTURE AT NEW LAYOUT</t>
  </si>
  <si>
    <t>Survey and Demarcation for Layouts</t>
  </si>
  <si>
    <t>2017 DRAFT ESTIMATES</t>
  </si>
  <si>
    <t xml:space="preserve">2017 DRAFT  ESTIMATES </t>
  </si>
  <si>
    <t>OGANIZATION NAME</t>
  </si>
  <si>
    <t>KADUNA STATE URBAN AND DEVELOPMENT AGENCY (KASUPDA)</t>
  </si>
  <si>
    <t>STATE EMERGENCY MANAGEMENT AGENCY (SEMA)</t>
  </si>
  <si>
    <t xml:space="preserve"> MINISTRY OF COMMERCE, INDUSTRY AND TOURISM</t>
  </si>
  <si>
    <t xml:space="preserve"> NUHU BAMALLI POLYTECHNIC, ZARIA</t>
  </si>
  <si>
    <t xml:space="preserve">KADUNA STATE AGENCY FOR MASS LITERACY </t>
  </si>
  <si>
    <t>ALHUDAHUDA COLLEGE, ZARIA</t>
  </si>
  <si>
    <t>GOVERNMENT GIRLS COLLEGE, ZONKWA</t>
  </si>
  <si>
    <t xml:space="preserve">SCIENCE SECONDARY SCHOOL KUFENA </t>
  </si>
  <si>
    <t>GOVERNMENT GIRLS SCIENCE SCHOOL, SOBA</t>
  </si>
  <si>
    <t>GOVERNMENT GIRLS SCIENCE SCHOOL, KWOI</t>
  </si>
  <si>
    <t>SCIENCE SECONDARY SCHOOL, B/GWARI</t>
  </si>
  <si>
    <t xml:space="preserve"> GOVERNMENT COLLEGE, KAGORO</t>
  </si>
  <si>
    <t>KADUNA STATE ENVIRONMENTAL PROTECTION AGENCY (KEPA)</t>
  </si>
  <si>
    <t>KADUNA STATE INTERNAL REVENUE SERVICE</t>
  </si>
  <si>
    <t>MINSTRY OF HEALTH AND HUMAN SERVICVES</t>
  </si>
  <si>
    <t xml:space="preserve"> SHEHU IDRIS COLLEGE OF HEALTH SCIENCES AND TECHNOLOGY MAKARFI</t>
  </si>
  <si>
    <t>COLLEGE OF NURSING AND MIDWIFERY KAFANCHAN</t>
  </si>
  <si>
    <t xml:space="preserve"> COLLEGE OF MIDWIFERY, KADUNA</t>
  </si>
  <si>
    <t>OFFICE OF THE AUDITOR GENERAL (STATE)</t>
  </si>
  <si>
    <t>KADUNA STATE PUBLIC WORKS AGENCY (KAPWA)</t>
  </si>
  <si>
    <t xml:space="preserve"> MUSLIM PILGRIMS WELFARE BOARD</t>
  </si>
  <si>
    <t>STATE INDEPENDENT ELECTORAL COMMISSION (SIECOM)</t>
  </si>
  <si>
    <t>TOTAL INTERNALLY GENERATED REVENUE (IGR)</t>
  </si>
  <si>
    <t>STATUTORY ALLOCATION FROM FEDERATION ACCOUNT</t>
  </si>
  <si>
    <t>VALUE ADDED TAX</t>
  </si>
  <si>
    <t>ORG. CODE</t>
  </si>
  <si>
    <t>ECONOMIC CODE</t>
  </si>
  <si>
    <t>REVENUE SOURCE</t>
  </si>
  <si>
    <t xml:space="preserve">Change of purpose Fees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</si>
  <si>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Non-refundable Application Fees for Land</t>
  </si>
  <si>
    <t>Obtaining Certified True Copies of Documents fee</t>
  </si>
  <si>
    <t>Sublease</t>
  </si>
  <si>
    <t>Registration of other instruments</t>
  </si>
  <si>
    <t>Revocation &amp; Reisuance of lost of C of O</t>
  </si>
  <si>
    <t>Registration of Mortgages</t>
  </si>
  <si>
    <t xml:space="preserve"> Subdivision/Merger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</si>
  <si>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Recertification/Regularisation</t>
  </si>
  <si>
    <t>PPP Layout Fees</t>
  </si>
  <si>
    <t>Registration of Assignment</t>
  </si>
  <si>
    <t xml:space="preserve">Ground Rent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</si>
  <si>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Land Development/Premium</t>
  </si>
  <si>
    <t>Survey Fees</t>
  </si>
  <si>
    <t xml:space="preserve">Penalty </t>
  </si>
  <si>
    <t>TOTAL</t>
  </si>
  <si>
    <t>KADUNA STATE URBAN DEVELOPMENT AUTHORITY (KASUPDA)</t>
  </si>
  <si>
    <t>BILLBOARD CHARGES</t>
  </si>
  <si>
    <t>REGISTRATION FEE (PFS)</t>
  </si>
  <si>
    <t>BUILDING PLANS FEE</t>
  </si>
  <si>
    <t>RENEWAL FEE (KIOSK)</t>
  </si>
  <si>
    <t>RENT ON GOVT. PROPERTIES</t>
  </si>
  <si>
    <t>RENT ON GOVT. QUARTERS</t>
  </si>
  <si>
    <t>SALES OF AIRTIME RADIO</t>
  </si>
  <si>
    <t>SALES OF AIR TIME TV</t>
  </si>
  <si>
    <t>Printing Valuation</t>
  </si>
  <si>
    <t xml:space="preserve">Sales of Apers forms </t>
  </si>
  <si>
    <t xml:space="preserve">Sales of Publication </t>
  </si>
  <si>
    <t>Sales of Waste Papers</t>
  </si>
  <si>
    <t>Earnings from Binding</t>
  </si>
  <si>
    <t>Registration of Community Development Associations</t>
  </si>
  <si>
    <t xml:space="preserve">Fire Safety Certificate </t>
  </si>
  <si>
    <t>High Court Fees</t>
  </si>
  <si>
    <t>Probate Fees</t>
  </si>
  <si>
    <t>1202061</t>
  </si>
  <si>
    <t>Veterinary Drugs License</t>
  </si>
  <si>
    <t>12040052</t>
  </si>
  <si>
    <t>School/Tuition fees</t>
  </si>
  <si>
    <t>12040207</t>
  </si>
  <si>
    <t>12040239</t>
  </si>
  <si>
    <t>Fees for Allocation of Farmland to Farmers</t>
  </si>
  <si>
    <t>12040357</t>
  </si>
  <si>
    <t>Agriculture Control Post</t>
  </si>
  <si>
    <t>12040268</t>
  </si>
  <si>
    <t>Planning/Development Rate</t>
  </si>
  <si>
    <t>12040362</t>
  </si>
  <si>
    <t>12040369</t>
  </si>
  <si>
    <t>Registration Fee for Cooperative Societies</t>
  </si>
  <si>
    <t>12040556</t>
  </si>
  <si>
    <t>Land Clearing (Irrigation Water Rate Charges)</t>
  </si>
  <si>
    <t>12040603</t>
  </si>
  <si>
    <t>Registration of Chain Saw Fees</t>
  </si>
  <si>
    <t>12050024</t>
  </si>
  <si>
    <t>Forest Offences Fines</t>
  </si>
  <si>
    <t>12060005</t>
  </si>
  <si>
    <t>Sales of Vaccines</t>
  </si>
  <si>
    <t>12060043</t>
  </si>
  <si>
    <t>Sales of Hortculture</t>
  </si>
  <si>
    <t>12060033</t>
  </si>
  <si>
    <t>Sales of Fish (Fingerlings)</t>
  </si>
  <si>
    <t>12100007</t>
  </si>
  <si>
    <t>Loan recovery (Tractor Sales)</t>
  </si>
  <si>
    <t>PPU Registration Fees</t>
  </si>
  <si>
    <t>12070128</t>
  </si>
  <si>
    <t>Earnings from leasing of Grains Silos &amp; Stores</t>
  </si>
  <si>
    <t>12090001</t>
  </si>
  <si>
    <t>Rent from Fadama Area (Forest Reserve)</t>
  </si>
  <si>
    <t>Soil Survey/ Farm Feasibility Studies</t>
  </si>
  <si>
    <t>Fruit Trees Nursery Sales</t>
  </si>
  <si>
    <t>Sales of Irrigation Pumps</t>
  </si>
  <si>
    <t>Sales of Sprayers</t>
  </si>
  <si>
    <t>Proceed from Agro- Processing Equipments</t>
  </si>
  <si>
    <t>Proceed from Irrigation Scheme</t>
  </si>
  <si>
    <t>Sales From Fruits Trees Seedlings</t>
  </si>
  <si>
    <t>Rent on Govt. Food Sellers</t>
  </si>
  <si>
    <t>Registration of Business Premises</t>
  </si>
  <si>
    <t>Sales of Forms (BPR)</t>
  </si>
  <si>
    <t>-</t>
  </si>
  <si>
    <t>Appraisal Fees (Industrial &amp; Commercial)</t>
  </si>
  <si>
    <t>Park Fees</t>
  </si>
  <si>
    <t>Entertainment Levy (Consumption Tax – 5%)</t>
  </si>
  <si>
    <t>Leasing of Hotels</t>
  </si>
  <si>
    <t>Registration of Hotels (forms)</t>
  </si>
  <si>
    <t>Examination Fees</t>
  </si>
  <si>
    <t>Boarding Fees</t>
  </si>
  <si>
    <t>Games Fees</t>
  </si>
  <si>
    <t>Medical Fees</t>
  </si>
  <si>
    <t>Continuous Assessment Fees</t>
  </si>
  <si>
    <t>Clubs and Society Fees</t>
  </si>
  <si>
    <t>ID Card Fees</t>
  </si>
  <si>
    <t>Barge Fees</t>
  </si>
  <si>
    <t>Practical Fees</t>
  </si>
  <si>
    <t>Library Fees</t>
  </si>
  <si>
    <t>Hoes Cutlasses &amp; Brooms</t>
  </si>
  <si>
    <t>File Jackets</t>
  </si>
  <si>
    <t>Stamp Duty</t>
  </si>
  <si>
    <t>Caution  Fees (Non-refundable)</t>
  </si>
  <si>
    <t>Computer Training &amp; Cyber Café Browsing Fees</t>
  </si>
  <si>
    <t>Consultancy Services Fees (CBS Hostels Mgt.)</t>
  </si>
  <si>
    <t>Registration Fees - Consultants</t>
  </si>
  <si>
    <t>Registration Fees - Contractors</t>
  </si>
  <si>
    <t>E-Library Fees</t>
  </si>
  <si>
    <t>Medical/Medication Fees</t>
  </si>
  <si>
    <t>Non Refundable Tender Fees</t>
  </si>
  <si>
    <t>Remedials and Preliminary Fees</t>
  </si>
  <si>
    <t>Science Practical Fees</t>
  </si>
  <si>
    <t>Student Handbook</t>
  </si>
  <si>
    <t>Students Registration Fees (Undergraduate)</t>
  </si>
  <si>
    <t>Transcript Fees</t>
  </si>
  <si>
    <t>Tuition Fees</t>
  </si>
  <si>
    <t>Verifcation Fees</t>
  </si>
  <si>
    <t>Registration Fees (Postgraduate)</t>
  </si>
  <si>
    <t>Hiring of Conference/Lecture Halls</t>
  </si>
  <si>
    <t>Hiring of Academic Gowns</t>
  </si>
  <si>
    <t>Rent on University Property (Medical Hostels)</t>
  </si>
  <si>
    <t>Sales of Tickets (Student's Transp. Scheme)</t>
  </si>
  <si>
    <t>Sales of Application Forms (Shops, e.t.c)</t>
  </si>
  <si>
    <t>Rent on Shops</t>
  </si>
  <si>
    <t>Contract Registration Fees</t>
  </si>
  <si>
    <t>Other Charges (I.D. Cards &amp; Badges)</t>
  </si>
  <si>
    <t>Certificate &amp; Transcript Fees</t>
  </si>
  <si>
    <t>School Fees (Tuition)</t>
  </si>
  <si>
    <t>Students Boarding Fees</t>
  </si>
  <si>
    <t>Students Registration Fees</t>
  </si>
  <si>
    <t>Summer Programme Fees</t>
  </si>
  <si>
    <t>Students Handbook Fees</t>
  </si>
  <si>
    <t>Utility Services Fees</t>
  </si>
  <si>
    <t>Registration &amp; ICT Services Fees</t>
  </si>
  <si>
    <t>Sanitary Services Fees</t>
  </si>
  <si>
    <t>REGISTRATION/PROCESSING OF CONTRACT FEES</t>
  </si>
  <si>
    <t>MEDICATION FEES CHARGES</t>
  </si>
  <si>
    <t>SCIENCE PRACTICAL CHARGES</t>
  </si>
  <si>
    <t>STUDENTS REGISTRATION CHARGES</t>
  </si>
  <si>
    <t>CAUTION FEES CHARGES</t>
  </si>
  <si>
    <t>EXAMINATION FEES CHARGES</t>
  </si>
  <si>
    <t>RESULT (CERTIFICATE/TRANSCRIPT)</t>
  </si>
  <si>
    <t>STATEMENT OF RESULT</t>
  </si>
  <si>
    <t>STUDENTS BOARDING FEES</t>
  </si>
  <si>
    <t>GAMES FEES</t>
  </si>
  <si>
    <t>STUDENTS HAND/LOG BOOK</t>
  </si>
  <si>
    <t>INTERNET CONNECTIVITY</t>
  </si>
  <si>
    <t>ADMISSION LETTER CHARGES</t>
  </si>
  <si>
    <t>I.D CARDS/BADGES</t>
  </si>
  <si>
    <t>STAFF SCHOOL FEES</t>
  </si>
  <si>
    <t>MAINTENANCE FEES</t>
  </si>
  <si>
    <t xml:space="preserve">PROMOTION EXAMS FEES </t>
  </si>
  <si>
    <t>SALES OF PUBLICATIONS</t>
  </si>
  <si>
    <t>CONSULTANCY SERVICES</t>
  </si>
  <si>
    <t>RENT OF GOVT. QUARTERS</t>
  </si>
  <si>
    <t>B.ED PROGRAMME FEES</t>
  </si>
  <si>
    <t>TEACHING PRACTICE FEES</t>
  </si>
  <si>
    <t>SIWES/FIELD/ITF</t>
  </si>
  <si>
    <t>Registration Fees</t>
  </si>
  <si>
    <t>Renewal Fees</t>
  </si>
  <si>
    <t>School Fees</t>
  </si>
  <si>
    <t xml:space="preserve"> KADUNA STATE LIBRARY BOARD</t>
  </si>
  <si>
    <t>Training Fees</t>
  </si>
  <si>
    <t>Lease/ Rental of Government Shops</t>
  </si>
  <si>
    <t>Rent on Government Properties( Shops)</t>
  </si>
  <si>
    <t>KADUNA STATE PRIVATE SCHOOLS BOARD</t>
  </si>
  <si>
    <t>REGISTRATION FEES</t>
  </si>
  <si>
    <t>ANNUAL RENEWAL FEES</t>
  </si>
  <si>
    <t>CAPITAL SCHOOL, KADUNA</t>
  </si>
  <si>
    <t>12020508</t>
  </si>
  <si>
    <t>Exams Fees</t>
  </si>
  <si>
    <t>12020517</t>
  </si>
  <si>
    <t>12020545</t>
  </si>
  <si>
    <t>12020478</t>
  </si>
  <si>
    <t>Club/Societies  Fees</t>
  </si>
  <si>
    <t>12020593</t>
  </si>
  <si>
    <t>12020614</t>
  </si>
  <si>
    <t>12020599</t>
  </si>
  <si>
    <t xml:space="preserve">Stamp Duty </t>
  </si>
  <si>
    <t>12020921</t>
  </si>
  <si>
    <t>Rent on Govt.Property (Shops)</t>
  </si>
  <si>
    <t>12020603</t>
  </si>
  <si>
    <t>Registration Fees (General)</t>
  </si>
  <si>
    <t>12020457</t>
  </si>
  <si>
    <t>12020471</t>
  </si>
  <si>
    <t>Caution Fees</t>
  </si>
  <si>
    <t>12020529</t>
  </si>
  <si>
    <t>Interview Fees</t>
  </si>
  <si>
    <t xml:space="preserve"> BOARDING FEES </t>
  </si>
  <si>
    <t xml:space="preserve">CLUB AND SOCIETIES </t>
  </si>
  <si>
    <t xml:space="preserve">CONTINOUS ASSESMENT  FEES </t>
  </si>
  <si>
    <t xml:space="preserve">GAMES FEES </t>
  </si>
  <si>
    <t xml:space="preserve">ID CARD/ BADGES </t>
  </si>
  <si>
    <t xml:space="preserve">MAINTENANCE FEES </t>
  </si>
  <si>
    <t xml:space="preserve">MEDICATION FEES </t>
  </si>
  <si>
    <t xml:space="preserve">SCIENCE PRACTICAL FEES </t>
  </si>
  <si>
    <t>STAMP  DUTY</t>
  </si>
  <si>
    <t xml:space="preserve">LIBRARY FEES </t>
  </si>
  <si>
    <t xml:space="preserve">UTILITY FEES </t>
  </si>
  <si>
    <t xml:space="preserve">FILE JACKETS </t>
  </si>
  <si>
    <t xml:space="preserve">HOES,CUTLASSES &amp; BROOMS </t>
  </si>
  <si>
    <t>Boarding Fess</t>
  </si>
  <si>
    <t>Game Fees</t>
  </si>
  <si>
    <t>Medical fees</t>
  </si>
  <si>
    <t>CONTINOUS ASSESSMENT FEES</t>
  </si>
  <si>
    <t>Club/ Societies</t>
  </si>
  <si>
    <t>I.D Card Fees</t>
  </si>
  <si>
    <t>Maintenance Fees</t>
  </si>
  <si>
    <t xml:space="preserve">I.D Card &amp; Badges </t>
  </si>
  <si>
    <t>Hoes ,Cutlasses  and  Brooms</t>
  </si>
  <si>
    <t>Utility Fees</t>
  </si>
  <si>
    <t>Clubs and Society</t>
  </si>
  <si>
    <t>ID &amp; Badges</t>
  </si>
  <si>
    <t>Medical  Fees</t>
  </si>
  <si>
    <t>Science Practical   Fees</t>
  </si>
  <si>
    <t>Hoe, Cutlasses and Brooms</t>
  </si>
  <si>
    <t>BOARDING FEES</t>
  </si>
  <si>
    <t>GAMES/SPORTS</t>
  </si>
  <si>
    <t>MEDICAL FEES</t>
  </si>
  <si>
    <t>CLUBS AND SOCIETY</t>
  </si>
  <si>
    <t>ID CARDS &amp; BADGES</t>
  </si>
  <si>
    <t>SCIENCE PRACTICAL FEES</t>
  </si>
  <si>
    <t>LIBRARY FEES</t>
  </si>
  <si>
    <t>FILE JACKETS</t>
  </si>
  <si>
    <t xml:space="preserve">HOES, BROOMS &amp; CUTLASES </t>
  </si>
  <si>
    <t>UTILITY FEES</t>
  </si>
  <si>
    <t>CONTINOUS ASSESSEMENT FEES</t>
  </si>
  <si>
    <t xml:space="preserve">CLUBS AND SOCIETY </t>
  </si>
  <si>
    <t>I.D. CARDS AND BADGES</t>
  </si>
  <si>
    <t xml:space="preserve">STAMP DUTY </t>
  </si>
  <si>
    <t xml:space="preserve">UTILITY FEE </t>
  </si>
  <si>
    <t xml:space="preserve">FILES JACKETS </t>
  </si>
  <si>
    <t xml:space="preserve">HOES, CUTLASSES AND BROOMS </t>
  </si>
  <si>
    <t xml:space="preserve">TOTAL </t>
  </si>
  <si>
    <t xml:space="preserve">Medical fees </t>
  </si>
  <si>
    <t>Examination fees</t>
  </si>
  <si>
    <t>Games fees</t>
  </si>
  <si>
    <t xml:space="preserve">ID Cards/Badges </t>
  </si>
  <si>
    <t>Clubs/societies fees</t>
  </si>
  <si>
    <t>File Jackets fees</t>
  </si>
  <si>
    <t>Brooms/cutlass fees</t>
  </si>
  <si>
    <t>Utility fees</t>
  </si>
  <si>
    <t>Library fees</t>
  </si>
  <si>
    <t>Games feeS</t>
  </si>
  <si>
    <t>Continous Assessement fees</t>
  </si>
  <si>
    <t>Clubs &amp; Socety</t>
  </si>
  <si>
    <t>Badges</t>
  </si>
  <si>
    <t>Maintenance fees</t>
  </si>
  <si>
    <t>Stamp duty</t>
  </si>
  <si>
    <t>File jackets</t>
  </si>
  <si>
    <t>Hoes, Cutlasses &amp; Brooms</t>
  </si>
  <si>
    <t>Maintenance  Fees</t>
  </si>
  <si>
    <t>Practical Materials</t>
  </si>
  <si>
    <t>I.D. Card</t>
  </si>
  <si>
    <t>Clubs &amp; Society</t>
  </si>
  <si>
    <t>File Jacket (2)</t>
  </si>
  <si>
    <t>Hoe,Cutlass,Brooms</t>
  </si>
  <si>
    <t>Badge</t>
  </si>
  <si>
    <t>CONTINUOUS ASSESSEMENT FEES</t>
  </si>
  <si>
    <t>CLUBS &amp; SOCIETIES</t>
  </si>
  <si>
    <t>ID CARDS FEES</t>
  </si>
  <si>
    <t>BADGES FEES</t>
  </si>
  <si>
    <t>STAMP DUTY</t>
  </si>
  <si>
    <t>HOES, CUTLASSES &amp; BROOMS</t>
  </si>
  <si>
    <t xml:space="preserve">SCIENCE SECONDARY SCHOOL, KUFENA </t>
  </si>
  <si>
    <t>PRACTICAL FEES</t>
  </si>
  <si>
    <t>CLUBS AND SOCIETIES</t>
  </si>
  <si>
    <t xml:space="preserve">I.D CARDS AND BADGES </t>
  </si>
  <si>
    <t>HOES, CUTLASSES &amp; BROOM</t>
  </si>
  <si>
    <t>Laboratory Fees</t>
  </si>
  <si>
    <t>I. D. Cards and Badges</t>
  </si>
  <si>
    <t>Clubs And Societies Fees</t>
  </si>
  <si>
    <t>Hoe Cutlass &amp;Broom</t>
  </si>
  <si>
    <t xml:space="preserve">Medical Fees </t>
  </si>
  <si>
    <t>Laboratory fees</t>
  </si>
  <si>
    <t>Computer training Fees</t>
  </si>
  <si>
    <t>Game fees</t>
  </si>
  <si>
    <t>ID cards &amp; Badges</t>
  </si>
  <si>
    <t>Clubs and Societies</t>
  </si>
  <si>
    <t>Termminal Exams Fees</t>
  </si>
  <si>
    <t>Promotion Exams Fees</t>
  </si>
  <si>
    <t>Hoes ,Cutlasses &amp; Brooms</t>
  </si>
  <si>
    <t>I.D card fees</t>
  </si>
  <si>
    <t>Library  fees</t>
  </si>
  <si>
    <t>Science practical Fees</t>
  </si>
  <si>
    <t>Hoes,  Cutlasses and Brooms</t>
  </si>
  <si>
    <t>SCIENCE SECONDARY SCHOOL, B /GWARI</t>
  </si>
  <si>
    <t xml:space="preserve">ID Cards &amp; Badges </t>
  </si>
  <si>
    <t>Library  Fees</t>
  </si>
  <si>
    <t>File Jacket Fees</t>
  </si>
  <si>
    <t>Student Boarding Fees</t>
  </si>
  <si>
    <t>Club &amp; Societes Fees</t>
  </si>
  <si>
    <t>I.D Cards and Badges</t>
  </si>
  <si>
    <t xml:space="preserve">File Jackets </t>
  </si>
  <si>
    <t>Hoes, Cutlasses and Brooms</t>
  </si>
  <si>
    <t>Sanitation Fees (MENR)</t>
  </si>
  <si>
    <t>Earnings From Public Toilets</t>
  </si>
  <si>
    <t>ROAD Tax (Haulege)</t>
  </si>
  <si>
    <t>KADUNA STATE ENVIRONMENTAL PROTECTION AUTHORITY(KEPA)</t>
  </si>
  <si>
    <t>Environmental Impact Assessment Fees</t>
  </si>
  <si>
    <t>Environmental Stress Fees</t>
  </si>
  <si>
    <t>Sanitaion Fines</t>
  </si>
  <si>
    <t>Stray Animal Fines</t>
  </si>
  <si>
    <t>Earnings from Laboratory Services</t>
  </si>
  <si>
    <t>Earnings from use of Pit Toilets</t>
  </si>
  <si>
    <t>Rent on Government Quarters</t>
  </si>
  <si>
    <t>Rent on Conference Centre</t>
  </si>
  <si>
    <t>Leasing/ Rental of Government Properties</t>
  </si>
  <si>
    <t xml:space="preserve">TOTAL  </t>
  </si>
  <si>
    <t>Contract Registration</t>
  </si>
  <si>
    <t>Non-Refundable Tender Fees</t>
  </si>
  <si>
    <t>Dividend on Investment</t>
  </si>
  <si>
    <t>Sales of Condemed Plant &amp; Vehicles</t>
  </si>
  <si>
    <t>Rent on Government Properties (Abuja &amp; Lagos)</t>
  </si>
  <si>
    <t>Rent of Shops</t>
  </si>
  <si>
    <t>Interest on Bank Deposits</t>
  </si>
  <si>
    <t>Refund of Over Payment</t>
  </si>
  <si>
    <t>Recovery of Public Funds</t>
  </si>
  <si>
    <t>Sales of Government Assets</t>
  </si>
  <si>
    <t>Solid Mineral</t>
  </si>
  <si>
    <t>Capital Gains Tax</t>
  </si>
  <si>
    <t>Direct Assessment</t>
  </si>
  <si>
    <t>PAYE Local Government</t>
  </si>
  <si>
    <t>PAYE State</t>
  </si>
  <si>
    <t>PAYE Federal</t>
  </si>
  <si>
    <t>PAYE Others</t>
  </si>
  <si>
    <t>Tax Audit Arrears</t>
  </si>
  <si>
    <t>WHT on Commission</t>
  </si>
  <si>
    <t>WHT on Consultancy</t>
  </si>
  <si>
    <t>WHT on Contract</t>
  </si>
  <si>
    <t>WHT on Directors Fees</t>
  </si>
  <si>
    <t>WHT on Dividend</t>
  </si>
  <si>
    <t xml:space="preserve">WHT on Rent </t>
  </si>
  <si>
    <t>WHT on Bank Interest</t>
  </si>
  <si>
    <t>Driver License (ENDL)</t>
  </si>
  <si>
    <t>Learners Permit</t>
  </si>
  <si>
    <t>Motor Cycle Number Plate</t>
  </si>
  <si>
    <t>Motor Vehicle Licenses</t>
  </si>
  <si>
    <t>Motor Vehicle Number Plate</t>
  </si>
  <si>
    <t>Change of Ownership Fees</t>
  </si>
  <si>
    <t>Motor Vehicle Registration</t>
  </si>
  <si>
    <t>Motor Cycle Registration</t>
  </si>
  <si>
    <t>Stamp Duties</t>
  </si>
  <si>
    <t>Vehicle Stickers</t>
  </si>
  <si>
    <t>Sales of Motor Vehicle Registration</t>
  </si>
  <si>
    <t>Ins. Disc. On M/V &amp; M/Cycle</t>
  </si>
  <si>
    <t>Restaurant and Entertainment Tax</t>
  </si>
  <si>
    <t>MINSTRY OF HEALTH AND HUMAN SERVICES</t>
  </si>
  <si>
    <t>HEALTH FACILITIES LICENCES</t>
  </si>
  <si>
    <t>LABORATORY SERVICES FEES</t>
  </si>
  <si>
    <t>BIRTH AND DEATH NOTIFICATION FEES</t>
  </si>
  <si>
    <t>SCHOOL INSPECTION CERTIFICATE FEES</t>
  </si>
  <si>
    <t>ULTRASOUND FEES</t>
  </si>
  <si>
    <t>PHARMACY STORES/PATIENT MEDICINE REGISTRATION FEES</t>
  </si>
  <si>
    <t>PRIVATE HEALTH ESTABLISHMENT RENEWAL FEES</t>
  </si>
  <si>
    <t xml:space="preserve">DRUGS AND DRESSING MATERIAL FEES  </t>
  </si>
  <si>
    <t>X-RAY SERVICE FEES</t>
  </si>
  <si>
    <t>DENTAL CHARGES</t>
  </si>
  <si>
    <t>EYE CLINIC FEES</t>
  </si>
  <si>
    <t>MEDICAL CERTIFICATE OF FITNESS FEES</t>
  </si>
  <si>
    <t>THEATRE SERVICES FEES</t>
  </si>
  <si>
    <t>OUT-PATIENT RECORD /SALES</t>
  </si>
  <si>
    <t>IN-PATIENT RECORD /FOLDER SALES</t>
  </si>
  <si>
    <t>NATIONAL HEALTH INSURANCE (NHIS)</t>
  </si>
  <si>
    <t>PHYSIO/PHOTOTHERAPHY</t>
  </si>
  <si>
    <t xml:space="preserve">   SHEHU IDRIS COLLEGE OF HEALTH SCIENCES AND TECHNOLOGY MAKARFI</t>
  </si>
  <si>
    <t>Admission Letter Fees</t>
  </si>
  <si>
    <t>Consultancy  Services Fees</t>
  </si>
  <si>
    <t xml:space="preserve"> External  Examination Fees</t>
  </si>
  <si>
    <t>Internal Examination Fees</t>
  </si>
  <si>
    <t>Identity Cards and Badges</t>
  </si>
  <si>
    <t>Indexing Fees</t>
  </si>
  <si>
    <t>Licensing Fees</t>
  </si>
  <si>
    <t>Log Book Fees</t>
  </si>
  <si>
    <t>Matriculation</t>
  </si>
  <si>
    <t>Practical Procedure Booklet</t>
  </si>
  <si>
    <t>Result Verification Fees</t>
  </si>
  <si>
    <t>Statement of Results Fees</t>
  </si>
  <si>
    <t>Student Registration Fees</t>
  </si>
  <si>
    <t>Training Booklet</t>
  </si>
  <si>
    <t>Uniform Fees</t>
  </si>
  <si>
    <t>Medical Laboratory Services</t>
  </si>
  <si>
    <t>National Health Insurance Scheme (NHIS)</t>
  </si>
  <si>
    <t>Standing Order Booklet</t>
  </si>
  <si>
    <t>COLLEGE OF NURSING AND MIDWIFERY,  KAFANCHAN</t>
  </si>
  <si>
    <t>School Fees(Tuition)</t>
  </si>
  <si>
    <t>Hostel Fees</t>
  </si>
  <si>
    <t>Matriculation Fees</t>
  </si>
  <si>
    <t>ID Cards/Badges</t>
  </si>
  <si>
    <t>Students Registration fees</t>
  </si>
  <si>
    <t>Testimonial Fees</t>
  </si>
  <si>
    <t>Rent on Government Shops</t>
  </si>
  <si>
    <t>Hiring of Conference Hall</t>
  </si>
  <si>
    <t xml:space="preserve"> COLLEGE OF MIDWIFERY,TUDUN WADA, KADUNA</t>
  </si>
  <si>
    <t>Admission letter/Acceptance Fees</t>
  </si>
  <si>
    <t>Internal Exams</t>
  </si>
  <si>
    <t>ID Cards &amp; Badges</t>
  </si>
  <si>
    <t>Training Materials</t>
  </si>
  <si>
    <t>Medical lab. Service fees</t>
  </si>
  <si>
    <t>Nat. Health Ins .Scheme</t>
  </si>
  <si>
    <t>Hiring of Academic Gown</t>
  </si>
  <si>
    <t>Rural Experience Fees</t>
  </si>
  <si>
    <t>Rules and Regulation Guide</t>
  </si>
  <si>
    <t>Shop Spaces</t>
  </si>
  <si>
    <t>Code Ethics</t>
  </si>
  <si>
    <t>Expectant Family Care Project</t>
  </si>
  <si>
    <t>Cyber Café Fees</t>
  </si>
  <si>
    <t>Psychiatric Expenses</t>
  </si>
  <si>
    <t>Practical Supervision Fees</t>
  </si>
  <si>
    <t>Students Handbook</t>
  </si>
  <si>
    <t>Urban Experience</t>
  </si>
  <si>
    <t>Contract Vetting Fees</t>
  </si>
  <si>
    <t>Rent Tribunal Application Fees</t>
  </si>
  <si>
    <t>Rent TribunaL Fees</t>
  </si>
  <si>
    <t>OFFICE OF THE AUDITOR -GENERAL (STATE)</t>
  </si>
  <si>
    <t>OFFICE OF THE AUDITOR -GENERAL (LOCAL GOVERNMENTS)</t>
  </si>
  <si>
    <t>Registration of External Auditors</t>
  </si>
  <si>
    <t>Registration of Drilling Companies in the State</t>
  </si>
  <si>
    <t>Renewal of Drilling Companies in the State</t>
  </si>
  <si>
    <t>Water Analysis Fees</t>
  </si>
  <si>
    <t>Borehole Drilling Fees</t>
  </si>
  <si>
    <t xml:space="preserve">Social Home Corner </t>
  </si>
  <si>
    <t>TUITION FEES</t>
  </si>
  <si>
    <t>IDENTIFICATION OF MOTOR/VEHICLES</t>
  </si>
  <si>
    <t>DRIVING FEES</t>
  </si>
  <si>
    <t>TAXI (COMMERCIAL) VEHICLE REGISTRATION FEES</t>
  </si>
  <si>
    <t>APPLICATION FOR PROCESSING FEE (BID DOCS)</t>
  </si>
  <si>
    <t>WOOD WORKSHOP CHARGES</t>
  </si>
  <si>
    <t>MECH/ELECT W/SHOP CHARGES</t>
  </si>
  <si>
    <t>VEHICLE VALUATION FEES</t>
  </si>
  <si>
    <t>PRIVATE VEHICLE TEST FEES</t>
  </si>
  <si>
    <t>RIGHT OF WAY FEES</t>
  </si>
  <si>
    <t>FINES FOR TRAFFIC OFFENDERS</t>
  </si>
  <si>
    <t>AGENCY FEES</t>
  </si>
  <si>
    <t>FEES FOR ROAD CUTTING</t>
  </si>
  <si>
    <t>RENT ON GOVERNMENT QUARTERS</t>
  </si>
  <si>
    <t>Penalties (General)</t>
  </si>
  <si>
    <t>Contravention Offences</t>
  </si>
  <si>
    <t>Penalties on Heavy Duty</t>
  </si>
  <si>
    <t>Sanitation Fines</t>
  </si>
  <si>
    <t>Court  Fines on Traffic Offences</t>
  </si>
  <si>
    <t>Stray Animals Fines</t>
  </si>
  <si>
    <t>Polluters Pay Principal</t>
  </si>
  <si>
    <t>Sales of Pilgrims Forms</t>
  </si>
  <si>
    <t>Administrative Charges</t>
  </si>
  <si>
    <t>Administrative  Charges</t>
  </si>
  <si>
    <t>Lease fees (Gate Ticket Taking)</t>
  </si>
  <si>
    <t>Rent From Food Sellers</t>
  </si>
  <si>
    <t>Sales of Forms</t>
  </si>
  <si>
    <t>Rent of Government Quarters</t>
  </si>
  <si>
    <t>Interest Earned on Bank Deposit</t>
  </si>
  <si>
    <t>Boarding /Hostel</t>
  </si>
  <si>
    <t>Exams fees</t>
  </si>
  <si>
    <t>Registration fees</t>
  </si>
  <si>
    <t>Tuition fees</t>
  </si>
  <si>
    <t>Rent on government Properties (Business Food Vendors)</t>
  </si>
  <si>
    <t>Sales of Form For Promotion,Conversion &amp; Confirmation</t>
  </si>
  <si>
    <t>Councilorship Election</t>
  </si>
  <si>
    <t>Chairmanship Election</t>
  </si>
  <si>
    <t>Others ( Bye Election)</t>
  </si>
  <si>
    <t xml:space="preserve"> TOTAL INTERNALLY GENERATED REVENUE</t>
  </si>
  <si>
    <t xml:space="preserve">                                                                                                         Total</t>
  </si>
  <si>
    <t xml:space="preserve"> DRAFT  REVENUE 2017 </t>
  </si>
  <si>
    <t xml:space="preserve"> DRAFT REVENUE 2017 </t>
  </si>
  <si>
    <t xml:space="preserve">                                                                                            Total for others</t>
  </si>
  <si>
    <t>Global Partnership on Education (NIPEP World Bank)</t>
  </si>
  <si>
    <t>Strengthening Routine Immunization (Tripatite MOU)</t>
  </si>
  <si>
    <t>Malaria Control Progamme (Global Fund)</t>
  </si>
  <si>
    <t>UBEC Intervention Trust Fund (2015)</t>
  </si>
  <si>
    <t>Tertiary Education Trust Fund (COE) Normal Intervention (2010-2012)</t>
  </si>
  <si>
    <t>UBEC Special Education Intervention (2016)</t>
  </si>
  <si>
    <t>UBEC Intervention  Trust Fund (2017)</t>
  </si>
  <si>
    <t>Tertiary Education Trust Fund (COE) Special Intervention (2017)</t>
  </si>
  <si>
    <t>2017 Presidential Needs Assessment Intervention</t>
  </si>
  <si>
    <t>Strenthening Routine Immunzation (Tripatite MOU)</t>
  </si>
  <si>
    <t xml:space="preserve">Intervention to improve Nutrition in Primary Schools and 31 Boarding Secondary Schools </t>
  </si>
  <si>
    <t xml:space="preserve">                                                                                            Total </t>
  </si>
  <si>
    <t>2017 DRAFT BUDGET SIZE</t>
  </si>
  <si>
    <t xml:space="preserve"> BREAKDOWN OF DRAFT REVENUE 2017</t>
  </si>
  <si>
    <t xml:space="preserve"> SUMMARY OF YEAR 2017 DRAFT REVENUE</t>
  </si>
  <si>
    <t>SUMMARY OF DRAFT RECURRENT EXPENDITURE 2017-2019</t>
  </si>
  <si>
    <t>Organization Code</t>
  </si>
  <si>
    <t>Organization Name</t>
  </si>
  <si>
    <t>Economic Code Description</t>
  </si>
  <si>
    <t xml:space="preserve">Approved Estimates 
2016
</t>
  </si>
  <si>
    <t>Draft Estimates
2017 As Submitted by MDAs</t>
  </si>
  <si>
    <t>011100100100</t>
  </si>
  <si>
    <t>011100200100</t>
  </si>
  <si>
    <t>DEPUTY GOVERNOR' S OFFICE</t>
  </si>
  <si>
    <t>Personnel Cost Total</t>
  </si>
  <si>
    <t>Overhead Cost Total</t>
  </si>
  <si>
    <t>DEPUTY GOVERNOR' S OFFICE TOTAL</t>
  </si>
  <si>
    <t>0140001001</t>
  </si>
  <si>
    <t>LOCAL GOVERNMENT STAFF PENSION BUREAU TOTAL</t>
  </si>
  <si>
    <t>TENDERS BOARD TOTAL</t>
  </si>
  <si>
    <t xml:space="preserve">TOTAL PERSONNEL COST </t>
  </si>
  <si>
    <t>TOTAL OVERHEAD COST</t>
  </si>
  <si>
    <t xml:space="preserve">                                                                             BREAKDOWN OF DRAFT RECURRENT EXPENDITURE 2017-2019</t>
  </si>
  <si>
    <t>Organization Descrption</t>
  </si>
  <si>
    <t>Expenditure Type</t>
  </si>
  <si>
    <t>Financial Code</t>
  </si>
  <si>
    <t>Expenditure Description</t>
  </si>
  <si>
    <t>Proposed Estimates 2018</t>
  </si>
  <si>
    <t>Proposed Estimates 2019</t>
  </si>
  <si>
    <t>Basic Salary</t>
  </si>
  <si>
    <t>Housing/Rent Allowance</t>
  </si>
  <si>
    <t>Transport Allowance</t>
  </si>
  <si>
    <t>Meal Subsidy</t>
  </si>
  <si>
    <t>Utility Allowance</t>
  </si>
  <si>
    <t>Entertainment Allowance</t>
  </si>
  <si>
    <t>Leave Allowance</t>
  </si>
  <si>
    <t>Domestic Staff Allowance</t>
  </si>
  <si>
    <t>Shift Allowance</t>
  </si>
  <si>
    <t>Hazard Allowance</t>
  </si>
  <si>
    <t>Provisional sum for Recruitment/Appt</t>
  </si>
  <si>
    <t>Duty tour Allowance-Civil Servant</t>
  </si>
  <si>
    <t>Office Stationeries/Computer Consumables</t>
  </si>
  <si>
    <t>Newspapers</t>
  </si>
  <si>
    <t>Uniforms &amp; Other Clothing</t>
  </si>
  <si>
    <t>Computer Materials &amp; Supply</t>
  </si>
  <si>
    <t>Maintenance of Motor Vehicle/Transport Equipment</t>
  </si>
  <si>
    <t>Maintenance of Office / IT Equipments</t>
  </si>
  <si>
    <t>Maintenance of Plants &amp; Generators</t>
  </si>
  <si>
    <t>Upkeep of Govt. House/Cleaning Services</t>
  </si>
  <si>
    <t>Citizens Engagement</t>
  </si>
  <si>
    <t>Security Personnel Allowances</t>
  </si>
  <si>
    <t>Motor Vehicle Fuel Cost</t>
  </si>
  <si>
    <t>Plant/Generator Fuel Cost</t>
  </si>
  <si>
    <t>Bank Charges (Other than Interest)</t>
  </si>
  <si>
    <t>Postages and Courier Services</t>
  </si>
  <si>
    <t>Entertainment &amp; Hospitality</t>
  </si>
  <si>
    <t>Protocol Support Services</t>
  </si>
  <si>
    <t>011100100200</t>
  </si>
  <si>
    <t>KADUNA GEOGRAPHIC INFORMATION SERVICE</t>
  </si>
  <si>
    <t>Printing of Non Security Documents</t>
  </si>
  <si>
    <t>Field &amp; Camping Materials Supplies</t>
  </si>
  <si>
    <t>Maintenance of Office Furniture</t>
  </si>
  <si>
    <t>Other Maintenance Services</t>
  </si>
  <si>
    <t>Cost of Revenue Collection</t>
  </si>
  <si>
    <t>Publicity &amp; Advertisements</t>
  </si>
  <si>
    <t>Final Accounts and Budget Preparation Expenses</t>
  </si>
  <si>
    <t>KADUNA STATE URBAN PLANNING AND DEVELOPMENT AGENCY</t>
  </si>
  <si>
    <t>011100100300</t>
  </si>
  <si>
    <t>Sewerage Charges</t>
  </si>
  <si>
    <t>Printing of Security Documents</t>
  </si>
  <si>
    <t>Security Services</t>
  </si>
  <si>
    <t>Office Rent</t>
  </si>
  <si>
    <t>Cleaning &amp;Fumigation Services</t>
  </si>
  <si>
    <t>Financial Consulting</t>
  </si>
  <si>
    <t>Legal Services</t>
  </si>
  <si>
    <t>Audit Fees</t>
  </si>
  <si>
    <t>Refreshment &amp; Meals</t>
  </si>
  <si>
    <t>011100100400</t>
  </si>
  <si>
    <t xml:space="preserve">Housing/Rent Allowance </t>
  </si>
  <si>
    <t>Meal Subsidy Allowance</t>
  </si>
  <si>
    <t xml:space="preserve">Leave Transport Allowance </t>
  </si>
  <si>
    <t>011100100500</t>
  </si>
  <si>
    <t>Weigh-in Allowance</t>
  </si>
  <si>
    <t>Internet Access Charges</t>
  </si>
  <si>
    <t>Satellite Broadcasting Access Charges</t>
  </si>
  <si>
    <t>Maintenance of Office Building Residential Qtrs</t>
  </si>
  <si>
    <t>Upkeep of Offices /Cleaning Services</t>
  </si>
  <si>
    <t>Practicing Licence Fee( Charges)</t>
  </si>
  <si>
    <t>Subscription to Professional Bodies</t>
  </si>
  <si>
    <t>VAT Due to FIRS</t>
  </si>
  <si>
    <t>KADUNA STATE MEDIA CORPORATION TOTAL</t>
  </si>
  <si>
    <t>DEPARTMENT OF PUBLIC AFFAIRS</t>
  </si>
  <si>
    <t>21010101</t>
  </si>
  <si>
    <t>21020101</t>
  </si>
  <si>
    <t>Housing/ Rent Allowance</t>
  </si>
  <si>
    <t>21020102</t>
  </si>
  <si>
    <t>21020103</t>
  </si>
  <si>
    <t>21020104</t>
  </si>
  <si>
    <t>21020105</t>
  </si>
  <si>
    <t>21020106</t>
  </si>
  <si>
    <t>21020107</t>
  </si>
  <si>
    <t>Fire Fighting Materials</t>
  </si>
  <si>
    <t>MINISTRY OF RURAL AND COMMUNITY DEVELOPMENT</t>
  </si>
  <si>
    <t>Software Charges/License Renewal</t>
  </si>
  <si>
    <t xml:space="preserve">Annual Budget Expenses and Administration </t>
  </si>
  <si>
    <t>Industrial Attachment Supervision</t>
  </si>
  <si>
    <t>Recurrent Counterpart Contribution by Government</t>
  </si>
  <si>
    <t>KADUNA POWER SUPPLY COMPANY LIMITED (KAPSCO)</t>
  </si>
  <si>
    <t>Design Services</t>
  </si>
  <si>
    <t>Honorarium &amp; Sitting Allowance</t>
  </si>
  <si>
    <t>011100300100</t>
  </si>
  <si>
    <t xml:space="preserve">Utility Allowance </t>
  </si>
  <si>
    <t>Motor/Vehicle Allowance</t>
  </si>
  <si>
    <t>Personal Assistant Allowance</t>
  </si>
  <si>
    <t>Newspaper</t>
  </si>
  <si>
    <t>Housing/Furniture for Political Appointees</t>
  </si>
  <si>
    <t>Local Transport and Travel-Civil Servants</t>
  </si>
  <si>
    <t>Security Vote (Including Operations)</t>
  </si>
  <si>
    <t>Security Vote (Preventive &amp; Supportive Measure)</t>
  </si>
  <si>
    <t>Donations to Institutions &amp; Organisations</t>
  </si>
  <si>
    <t>Committees &amp; Commissions Expenses</t>
  </si>
  <si>
    <t>Traditional Gifts</t>
  </si>
  <si>
    <t>011100700100</t>
  </si>
  <si>
    <t>Teaching aids/ Instruction Materials</t>
  </si>
  <si>
    <t>Economic &amp; fin. Consulting Services</t>
  </si>
  <si>
    <t>011100800100</t>
  </si>
  <si>
    <t>Drugs &amp; Medical Supplies</t>
  </si>
  <si>
    <t>Food Stuff /Catering Materials Supplies</t>
  </si>
  <si>
    <t>011101000100</t>
  </si>
  <si>
    <t>KADUNA STATE PUBLIC PROCUREMENT AUTHORITY TOTAL</t>
  </si>
  <si>
    <t>Inducement Allowance</t>
  </si>
  <si>
    <t>0111021003</t>
  </si>
  <si>
    <t xml:space="preserve">KADUNA STATE AIDS CONTROL AGENCY </t>
  </si>
  <si>
    <t>011103300100</t>
  </si>
  <si>
    <t>Local Training(Seminar,Conf. &amp; Workshop)</t>
  </si>
  <si>
    <t>HIV Intervention Fund</t>
  </si>
  <si>
    <t>Special Days/Celebrations</t>
  </si>
  <si>
    <t>011103400100</t>
  </si>
  <si>
    <t>011103500100</t>
  </si>
  <si>
    <t>011103700200</t>
  </si>
  <si>
    <t>Entertainment</t>
  </si>
  <si>
    <t>Domestic  Staff Allowance</t>
  </si>
  <si>
    <t>Responsibility Allowance</t>
  </si>
  <si>
    <t>011103800200</t>
  </si>
  <si>
    <t>CHRISTIANS PILGRIMS WELFARE BOARD</t>
  </si>
  <si>
    <t>Local Travel and Transport - Training</t>
  </si>
  <si>
    <t>Maintenance of Communication Equipments</t>
  </si>
  <si>
    <t>Professional Development Others</t>
  </si>
  <si>
    <t>011200300100</t>
  </si>
  <si>
    <t>Severance Gratuity</t>
  </si>
  <si>
    <t>International Transport and Travel-Estacodes</t>
  </si>
  <si>
    <t>International Transport and Travelling(Training)-Passage</t>
  </si>
  <si>
    <t>International Training(Sem. Conf. and Workshop)</t>
  </si>
  <si>
    <t>Electricity Charges</t>
  </si>
  <si>
    <t>Water Rates</t>
  </si>
  <si>
    <t>Magazines &amp; Periodicals</t>
  </si>
  <si>
    <t>Overseas Medical Treatment &amp; Expenses</t>
  </si>
  <si>
    <t>Insurance Premium</t>
  </si>
  <si>
    <t>Medical Expenses</t>
  </si>
  <si>
    <t>Postages &amp; Courier Services</t>
  </si>
  <si>
    <t>Welfare Packages</t>
  </si>
  <si>
    <t>011200400100</t>
  </si>
  <si>
    <t>Transp. Allowance</t>
  </si>
  <si>
    <t>Motor Vehicle Maint. &amp; Fuelling Allowance</t>
  </si>
  <si>
    <t>Legislative Allowance</t>
  </si>
  <si>
    <t>Robe &amp; Outfit Allowance</t>
  </si>
  <si>
    <t>012500100100</t>
  </si>
  <si>
    <t>Consolidated  Revenue Fund Charges -Salaries</t>
  </si>
  <si>
    <t>Legislative Aides Allowance</t>
  </si>
  <si>
    <t>Telephone Charges</t>
  </si>
  <si>
    <t>Anti-Corruption</t>
  </si>
  <si>
    <t>Supplementary Support to NYSC</t>
  </si>
  <si>
    <t>BUREAU OF ESTABLISHMENTS, MANAGEMENT SERVICES AND TRAINING</t>
  </si>
  <si>
    <t>012500500100</t>
  </si>
  <si>
    <t>Local Training(Regular)</t>
  </si>
  <si>
    <t>012500500200</t>
  </si>
  <si>
    <t>Books</t>
  </si>
  <si>
    <t>Sporting Activities</t>
  </si>
  <si>
    <t>OFFICE OF THE STATE AUDITOR-GENERAL</t>
  </si>
  <si>
    <t>014000100100</t>
  </si>
  <si>
    <t>Harzad Allowance</t>
  </si>
  <si>
    <t>Maint. Of Computer &amp; ICT Equipment dumpsites &amp; Evacuation of cacases</t>
  </si>
  <si>
    <t>CIVIL SERVICE COMMISSION, KADUNA STATE</t>
  </si>
  <si>
    <t>014700100100</t>
  </si>
  <si>
    <t>7,131,614,11</t>
  </si>
  <si>
    <t>Recruitment and Appointmen t (Service Wide)</t>
  </si>
  <si>
    <t>014800100100</t>
  </si>
  <si>
    <t>Motor Vehicle Maint &amp; Fuelling Allowance</t>
  </si>
  <si>
    <t>OFFICE OF THE AUDITOR-GENERAL (LOCAL GOVERNMENTS)</t>
  </si>
  <si>
    <t>016100100100</t>
  </si>
  <si>
    <t>21020124</t>
  </si>
  <si>
    <t>016400100100</t>
  </si>
  <si>
    <t>EntertainmentAllowance</t>
  </si>
  <si>
    <t>021500100100</t>
  </si>
  <si>
    <t>Call Duties Allowance</t>
  </si>
  <si>
    <t>Clinical Allowance</t>
  </si>
  <si>
    <t>Teaching Allowance</t>
  </si>
  <si>
    <t>Specialist Allowance</t>
  </si>
  <si>
    <t>Provisional Sum for Recruitment/Appointment</t>
  </si>
  <si>
    <t>KADUNA STATE AGRICULTURAL DEVELOPMENT PROJECT (KADP)</t>
  </si>
  <si>
    <t>021510200100</t>
  </si>
  <si>
    <t>Local Training( Seminars, Conf. &amp; W/Shop</t>
  </si>
  <si>
    <t>021510900100</t>
  </si>
  <si>
    <t>MINISTRY OF FINANCE KADUNA STATE</t>
  </si>
  <si>
    <t>022000100100</t>
  </si>
  <si>
    <t>Surveying Services</t>
  </si>
  <si>
    <t>Promotion (Service Wide)</t>
  </si>
  <si>
    <t>22040203</t>
  </si>
  <si>
    <t>022000700100</t>
  </si>
  <si>
    <t>CRFC Salaries/Allowance -Governor</t>
  </si>
  <si>
    <t>CRFC Salaries/Allowance - Deputy Governor</t>
  </si>
  <si>
    <t>CRFC Salaries/Allowance-State Auditor General</t>
  </si>
  <si>
    <t>CRFC Salaries/Allowance Chairman and Members SIECOM</t>
  </si>
  <si>
    <t>CRFC Salaries/Allowance Judiciary High Court of Justice</t>
  </si>
  <si>
    <t>CRFC Salaries/Allowance Judiciary Shari'a Court of Appeal</t>
  </si>
  <si>
    <t>CRFC Salaries/Allowance Judiciary Customary Court of Appeal</t>
  </si>
  <si>
    <t>CFRC Salaries/Allowance  Local Governement Auditor General</t>
  </si>
  <si>
    <t>CRFC Salaries/Allowance Chairman SUBEB</t>
  </si>
  <si>
    <t>Group Life Insurance</t>
  </si>
  <si>
    <t>Gratuity</t>
  </si>
  <si>
    <t>Pension</t>
  </si>
  <si>
    <t>Regional Water Plants Fuelling</t>
  </si>
  <si>
    <t>Settlement of Outstanding Recurrent liabilities</t>
  </si>
  <si>
    <t>Recurrent Grants to Govt Owned Companies</t>
  </si>
  <si>
    <t>Recurrent Grants to NYSC</t>
  </si>
  <si>
    <t>Recurrent Grants to Nigerian Labour Congress</t>
  </si>
  <si>
    <t>Recurrent Grants to ABU Zaria</t>
  </si>
  <si>
    <t>LG Shares of State Internally Generated Revenue</t>
  </si>
  <si>
    <t>Government Contribution to LG Staff Pension</t>
  </si>
  <si>
    <t>Transfer to welfare loans &amp; Advances Fund</t>
  </si>
  <si>
    <t>External Debts Repayments- Principal</t>
  </si>
  <si>
    <t>Refunds (Tax  Others)</t>
  </si>
  <si>
    <t>022000800100</t>
  </si>
  <si>
    <t>Local Training</t>
  </si>
  <si>
    <t>MINIDSTRY OF COMMERCE, INDUSTRY AND TOURISM</t>
  </si>
  <si>
    <t>022200100100</t>
  </si>
  <si>
    <t>MINISTRY OF COMMERCE,  INDUSTRY AND TOURISM</t>
  </si>
  <si>
    <t>Student Allowance/Local Scholarship</t>
  </si>
  <si>
    <t>Feeding of Animals</t>
  </si>
  <si>
    <t>023400100100</t>
  </si>
  <si>
    <t>MINISTRY OF WORKS HOUSING AND TRANSPORT</t>
  </si>
  <si>
    <t>Engineering Services</t>
  </si>
  <si>
    <t>Architectural Services</t>
  </si>
  <si>
    <t>Supervision (M&amp;E)</t>
  </si>
  <si>
    <t>023405400100</t>
  </si>
  <si>
    <t xml:space="preserve">KADUNA STATE PUBLIC WORKS AGENCY </t>
  </si>
  <si>
    <t>Maintenance of Street Lightings</t>
  </si>
  <si>
    <t>Minor Road Maintenance</t>
  </si>
  <si>
    <t>KADUNA STATE TRAFFIC AND ENVIRONMENTAL LAW ENFORCEMENT AGENCY</t>
  </si>
  <si>
    <t>023405400200</t>
  </si>
  <si>
    <t xml:space="preserve">Personnel Cost </t>
  </si>
  <si>
    <t>023500100100</t>
  </si>
  <si>
    <t>Maintenance of Sea Boats</t>
  </si>
  <si>
    <t>Maint. Of dumpsites &amp; Evacuation of cacases</t>
  </si>
  <si>
    <t>Sea Boat Fuel Cost</t>
  </si>
  <si>
    <t>KADUNA STATE ENVIRONMENTAL PROTECTION AUTHORITY</t>
  </si>
  <si>
    <t>023501600100</t>
  </si>
  <si>
    <t>023800100100</t>
  </si>
  <si>
    <t xml:space="preserve"> Basic Salary</t>
  </si>
  <si>
    <t>Budget Administration and Implementation</t>
  </si>
  <si>
    <t>Local Travel and Transport - Others</t>
  </si>
  <si>
    <t>025200100100</t>
  </si>
  <si>
    <t>RURAL WATER SUPPLY AND SANITATION AGENCY</t>
  </si>
  <si>
    <t>025200400100</t>
  </si>
  <si>
    <t>Judicial Service Commission</t>
  </si>
  <si>
    <t>031801100100</t>
  </si>
  <si>
    <t>032600100100</t>
  </si>
  <si>
    <t>032605100100</t>
  </si>
  <si>
    <t>Information Technology Consulting</t>
  </si>
  <si>
    <t>Medical Expenses - International</t>
  </si>
  <si>
    <t>Entertainment and Hospitality</t>
  </si>
  <si>
    <t>032605200100</t>
  </si>
  <si>
    <t>032605300100</t>
  </si>
  <si>
    <t>Journal Allowance (Newspapers)</t>
  </si>
  <si>
    <t>Overtime Allowance</t>
  </si>
  <si>
    <t>Service School Fees Payment</t>
  </si>
  <si>
    <t>051300100100</t>
  </si>
  <si>
    <t>Other Transport Equipment Fuel Cost</t>
  </si>
  <si>
    <t>051400100100</t>
  </si>
  <si>
    <t xml:space="preserve">MINISTRY OF WOMEN AFFAIRS AND SOCIAL DEVELOPMENT </t>
  </si>
  <si>
    <t>051405400100</t>
  </si>
  <si>
    <t>Empowerment scheme</t>
  </si>
  <si>
    <t>Resettlement Tools</t>
  </si>
  <si>
    <t>051700100100</t>
  </si>
  <si>
    <t>Science Teachers Allowance</t>
  </si>
  <si>
    <t>TSS Allowance (Qualified Teachers)</t>
  </si>
  <si>
    <t>5% Teacher's Allowance</t>
  </si>
  <si>
    <t>Maint. Of Computer &amp; ICT Equipment</t>
  </si>
  <si>
    <t>Design  Services</t>
  </si>
  <si>
    <t>Gender</t>
  </si>
  <si>
    <t>Technology Teacher Reserch &amp; Development</t>
  </si>
  <si>
    <t>Technology Reserch &amp; Development</t>
  </si>
  <si>
    <t>Local Techology Support</t>
  </si>
  <si>
    <t>Overhead Cost Payment to Parastatals &amp; Agencies</t>
  </si>
  <si>
    <t>051700300100</t>
  </si>
  <si>
    <t>STATE UNIVERSAL BASIC EDUCATION BOARD</t>
  </si>
  <si>
    <t>051700800100</t>
  </si>
  <si>
    <t>051701000100</t>
  </si>
  <si>
    <t>Maintenance of Computer and ICT equipment</t>
  </si>
  <si>
    <t>Mass Literacy Advocacy and Sensitization</t>
  </si>
  <si>
    <t>051701800100</t>
  </si>
  <si>
    <t>Maint. Of Science Laboratory</t>
  </si>
  <si>
    <t>Capacity Building( Part- time Services Delivery)</t>
  </si>
  <si>
    <t>National Health Insurance Scheme Contribution</t>
  </si>
  <si>
    <t>COLLECGE OF EDUCATION GIDAN WAYA</t>
  </si>
  <si>
    <t>051701900100</t>
  </si>
  <si>
    <t xml:space="preserve">COLLEGE OF EDUCATION,GIDAN WAYA  </t>
  </si>
  <si>
    <t>International Transport and Travels - Training</t>
  </si>
  <si>
    <t>International Training</t>
  </si>
  <si>
    <t>International Training (Seminars, Conf. &amp; W/Shop)</t>
  </si>
  <si>
    <t>Residential Rent</t>
  </si>
  <si>
    <t>Local Medical Treatment &amp; Expenses</t>
  </si>
  <si>
    <t>External Examination Fees (Charges)</t>
  </si>
  <si>
    <t>Internal Examination Fees (Charges)</t>
  </si>
  <si>
    <t>Cooking Gas/Fuel Cost</t>
  </si>
  <si>
    <t>Third Party Funds</t>
  </si>
  <si>
    <t>Accreditation</t>
  </si>
  <si>
    <t>Affiliation to Other Institutions</t>
  </si>
  <si>
    <t>051702100100</t>
  </si>
  <si>
    <t>Foreign Scholarship Scheme</t>
  </si>
  <si>
    <t>Technology Teacher Research &amp; Development</t>
  </si>
  <si>
    <t>051702600100</t>
  </si>
  <si>
    <t>BAREWA COLLEGE ZARIA</t>
  </si>
  <si>
    <t>051702600200</t>
  </si>
  <si>
    <t>Housing/Rent allowance</t>
  </si>
  <si>
    <t>Transport allowance</t>
  </si>
  <si>
    <t>Meal subsidy</t>
  </si>
  <si>
    <t>Utility allowance</t>
  </si>
  <si>
    <t>Entertainment allowance</t>
  </si>
  <si>
    <t>Leave allowance</t>
  </si>
  <si>
    <t>Domestic staff allowance</t>
  </si>
  <si>
    <t>Shift Duty allowance</t>
  </si>
  <si>
    <t>Hazard allowance</t>
  </si>
  <si>
    <t>Tss allowance</t>
  </si>
  <si>
    <t>5% Teaching allowance</t>
  </si>
  <si>
    <t>051702600400</t>
  </si>
  <si>
    <t>051702600500</t>
  </si>
  <si>
    <t>051702600600</t>
  </si>
  <si>
    <t>GOVERNMENT SECONDARY  SCHOOL, KAGORO</t>
  </si>
  <si>
    <t>051702600700</t>
  </si>
  <si>
    <t>051702600800</t>
  </si>
  <si>
    <t>GOVERNMENT GIRLS' COLLEGE, ZONKWA</t>
  </si>
  <si>
    <t>051702601000</t>
  </si>
  <si>
    <t>051705400100</t>
  </si>
  <si>
    <t>Dicipline and Appointment (Service Wide)</t>
  </si>
  <si>
    <t>SCIENCE AND TECHNICAL SCHOOLS MANAGEMENT BOARD</t>
  </si>
  <si>
    <t>051705500100</t>
  </si>
  <si>
    <t>Maitenance of Office Building</t>
  </si>
  <si>
    <t>051705501000</t>
  </si>
  <si>
    <t>051705501100</t>
  </si>
  <si>
    <t>051705501200</t>
  </si>
  <si>
    <t>051705501300</t>
  </si>
  <si>
    <t>Entertaiment Allowance</t>
  </si>
  <si>
    <t xml:space="preserve">Domestic Staff Allowance </t>
  </si>
  <si>
    <t>TSS Allowance (Quarlifiel Teachers)</t>
  </si>
  <si>
    <t>Leave Transport Allowance</t>
  </si>
  <si>
    <t>5% Tearchers Allowance</t>
  </si>
  <si>
    <t>051705501400</t>
  </si>
  <si>
    <t>GOVERNMENT COLLEGE , KAGORO</t>
  </si>
  <si>
    <t>051705501500</t>
  </si>
  <si>
    <t>051705600100</t>
  </si>
  <si>
    <t>1,420,119,.36</t>
  </si>
  <si>
    <t>PRIVATE SCHOOL BOARD</t>
  </si>
  <si>
    <t>051705700100</t>
  </si>
  <si>
    <t>QUALITY ASSURANCE BOARD</t>
  </si>
  <si>
    <t>051705900100</t>
  </si>
  <si>
    <t>QUALITY ASSURANCE BOARD - MOE TOTAL</t>
  </si>
  <si>
    <t>052100100100</t>
  </si>
  <si>
    <t>Overhead Cost payment to Hospitals</t>
  </si>
  <si>
    <t>Health Consultancy Services</t>
  </si>
  <si>
    <t>STATE PRIMARY HEALTH CARE DEVELOPMENT AGENCY</t>
  </si>
  <si>
    <t>052100300100</t>
  </si>
  <si>
    <t>Midwifery Scheme Allowance</t>
  </si>
  <si>
    <t>State 40% Contribution to LGAs Health Workers</t>
  </si>
  <si>
    <t>052110400100</t>
  </si>
  <si>
    <t>SHEHU IDRIS COLLEGE OF HEALTH SCIENCES AND TECHNOLOGY,MAKARFI</t>
  </si>
  <si>
    <t>052110600100</t>
  </si>
  <si>
    <t>Local Training ( Regular)</t>
  </si>
  <si>
    <t>052111300100</t>
  </si>
  <si>
    <t>052111400100</t>
  </si>
  <si>
    <t>BARAU DIKKO TEACHING HOSPITAL, KADUNA</t>
  </si>
  <si>
    <t>052111500100</t>
  </si>
  <si>
    <t>055100100100</t>
  </si>
  <si>
    <t>Seminars/Workshops for Traditional Institutions</t>
  </si>
  <si>
    <t>Contribution to Traditional Councils ( Emirates &amp; Chiefdoms)</t>
  </si>
  <si>
    <t>KADUNA INVESTMENT PROMOTION AGENCY (KADIPA)</t>
  </si>
  <si>
    <t>SUMMARY OF CAPITAL DEVELOPMENT RECEIPTS YEAR 2017</t>
  </si>
  <si>
    <t>Rice Anchor Borrowers Programme (CBN Loan)</t>
  </si>
  <si>
    <t>Global Partnership for Education (NIPEP World Bank)</t>
  </si>
  <si>
    <t>Strengthening Routine Immunization (TRIPATITE MOU)</t>
  </si>
  <si>
    <t>Teachers Development Project (TDP) - DFID Joint Projects</t>
  </si>
  <si>
    <t>Inclusive Education Trust Fund</t>
  </si>
  <si>
    <t>UBEC Intervention Trust Fund (2017)</t>
  </si>
  <si>
    <t>Tertiary Education Trust Fund (COE) Normal Intervention (2016)</t>
  </si>
  <si>
    <t>Tertiary Education Trust Fund (COE)  Normal Intervention (2010-2012)</t>
  </si>
  <si>
    <t>Organisation name</t>
  </si>
  <si>
    <t>Admin Segment</t>
  </si>
  <si>
    <t>Economic Segment</t>
  </si>
  <si>
    <t>Functional Segment</t>
  </si>
  <si>
    <t>Programme Segment</t>
  </si>
  <si>
    <t>Fund Segment</t>
  </si>
  <si>
    <t>Geo-Code Segment</t>
  </si>
  <si>
    <t>Project Title</t>
  </si>
  <si>
    <t>Approved Provision 2016</t>
  </si>
  <si>
    <t>Sectors</t>
  </si>
  <si>
    <t>Sub-Sector: Economic</t>
  </si>
  <si>
    <t>Agriculture and Forestry</t>
  </si>
  <si>
    <t>Commerce, Industry and Tourism</t>
  </si>
  <si>
    <t>Rural and Community Development</t>
  </si>
  <si>
    <t>Works, Housing and Transport</t>
  </si>
  <si>
    <t>Total For Sub-Sector: Economic</t>
  </si>
  <si>
    <t/>
  </si>
  <si>
    <t>Sub-Sector: Social</t>
  </si>
  <si>
    <t>Education</t>
  </si>
  <si>
    <t>Health</t>
  </si>
  <si>
    <t>Social Development</t>
  </si>
  <si>
    <t>Total For Sub-Sector: Social</t>
  </si>
  <si>
    <t>Sub-Sector: Regional</t>
  </si>
  <si>
    <t>Environment and Natural Resources</t>
  </si>
  <si>
    <t>Water Resources</t>
  </si>
  <si>
    <t>Total For Sub-Sector: Regional</t>
  </si>
  <si>
    <t>Sub-Sector: General Administration</t>
  </si>
  <si>
    <t>Executive</t>
  </si>
  <si>
    <t>Governance</t>
  </si>
  <si>
    <t>Law and Justice</t>
  </si>
  <si>
    <t>Legislature</t>
  </si>
  <si>
    <t>Total For Sub-Sector: Gen. Admin</t>
  </si>
  <si>
    <t>SUMMARY BY MDAs</t>
  </si>
  <si>
    <t>Ministry of Agriculture and Forestry</t>
  </si>
  <si>
    <t>Forest Management Project</t>
  </si>
  <si>
    <t>Kaduna State Agricultural Development Project (KADP)</t>
  </si>
  <si>
    <t>Kaduna  Power Supply Company (KAPSCO)</t>
  </si>
  <si>
    <t>Ministry of Works, Housing and Transport</t>
  </si>
  <si>
    <t>Kaduna State Public Works Agency (KAPWA)</t>
  </si>
  <si>
    <t>Ministry of Education, Science and Technology</t>
  </si>
  <si>
    <t>Kaduna State University (KASU)</t>
  </si>
  <si>
    <t>College of Education, Gidan Waya</t>
  </si>
  <si>
    <t>Library Board</t>
  </si>
  <si>
    <t>Agency for Mass Literature</t>
  </si>
  <si>
    <t>Kaduna State Scholarship Board</t>
  </si>
  <si>
    <t>Private School Board</t>
  </si>
  <si>
    <t>Quality Assurance Board</t>
  </si>
  <si>
    <t>State Universal Basic Education Board (SUBEB)</t>
  </si>
  <si>
    <t>Nuhu Bamalli Polytechnic, Zaria</t>
  </si>
  <si>
    <t>Total For Education</t>
  </si>
  <si>
    <t>Ministry of Health and Human Services</t>
  </si>
  <si>
    <t>Shehu Idris College Of Health Sciences and Technology</t>
  </si>
  <si>
    <t>Kaduna State College of Nursing and Midwifery, Kafanchan</t>
  </si>
  <si>
    <t>College of Midwifery, Kaduna</t>
  </si>
  <si>
    <t>Primary Health Care Agency</t>
  </si>
  <si>
    <t>Drugs and Medical Supplies Management Agency</t>
  </si>
  <si>
    <t>Kaduna State Aids Control Agency (KADSACA)</t>
  </si>
  <si>
    <t>Total For Health</t>
  </si>
  <si>
    <t>Ministry of Youth, Sports and Culture</t>
  </si>
  <si>
    <t>Ministry of Women Affairs and Social Development</t>
  </si>
  <si>
    <t>Rehabilitation Board</t>
  </si>
  <si>
    <t>Total For Social Development</t>
  </si>
  <si>
    <t>Ministry of Environment and Natural Resources</t>
  </si>
  <si>
    <t>Kaduna State Environmental Protection Authority (KEPA)</t>
  </si>
  <si>
    <t>Ministry of Water Resources</t>
  </si>
  <si>
    <t>Rural Water Supply and Sanitation Agency (RUWASSA)</t>
  </si>
  <si>
    <t>Department of Lands, Survey and Country Planning</t>
  </si>
  <si>
    <t>Kaduna State Urban Planning Development Authority (KASUPDA)</t>
  </si>
  <si>
    <t xml:space="preserve">Department of Information and Public Affairs </t>
  </si>
  <si>
    <t>Kaduna State Media Corporation (KSMC)</t>
  </si>
  <si>
    <t>Government Printing Department</t>
  </si>
  <si>
    <t>Kaduna State Traffic and Environmental Law Enforcement Authority (KASTELEA)</t>
  </si>
  <si>
    <t xml:space="preserve">Office of the Secretary to the State Government </t>
  </si>
  <si>
    <t>Office of the head of Service</t>
  </si>
  <si>
    <t>Kaduna State Public Service Institute (KAPSI)</t>
  </si>
  <si>
    <t xml:space="preserve">Ministry for Local Government </t>
  </si>
  <si>
    <t>Ministry of Finance</t>
  </si>
  <si>
    <t>Board of Internal Revenue</t>
  </si>
  <si>
    <t>State Independent Electoral Commission</t>
  </si>
  <si>
    <t>State Emergency Management Agency</t>
  </si>
  <si>
    <t>Local Government Service Commission</t>
  </si>
  <si>
    <t>Kaduna  State Facilities   Management Agency (KADFAMA)</t>
  </si>
  <si>
    <t>Kaduna  State Public Procurement  Agency (Due Process)</t>
  </si>
  <si>
    <t>Bureau of Public Service Reform</t>
  </si>
  <si>
    <t>Kaduna State Investment Promotion  Agency  (KADIPA)</t>
  </si>
  <si>
    <t>Total For Executive</t>
  </si>
  <si>
    <t>Ministry of Budget and Planning</t>
  </si>
  <si>
    <t>Bureau of Statistics</t>
  </si>
  <si>
    <t>Total For Governance</t>
  </si>
  <si>
    <t>Law And Justice</t>
  </si>
  <si>
    <t>Ministry of Justice</t>
  </si>
  <si>
    <t>High Court of Justice</t>
  </si>
  <si>
    <t>Customary Court of Appeal</t>
  </si>
  <si>
    <t>Sharia Court of Appeal</t>
  </si>
  <si>
    <t>Total For Law and Justice</t>
  </si>
  <si>
    <t>Kaduna State Legislature</t>
  </si>
  <si>
    <t xml:space="preserve">Total For Legislature </t>
  </si>
  <si>
    <t>Fertilizer Operation</t>
  </si>
  <si>
    <t>Advocacy and Sensitization to the Public</t>
  </si>
  <si>
    <t>Shelterbelt Management</t>
  </si>
  <si>
    <t>Establishment of Meat Regulatory Agency</t>
  </si>
  <si>
    <t>Formation of Public Health Emergency Response Committee</t>
  </si>
  <si>
    <t>PPP with Ollam in the Poultry Value Chain</t>
  </si>
  <si>
    <t>Strengthen the School of Livestock Training (PPU) Kawo Kaduna</t>
  </si>
  <si>
    <t>Provision of 25% Insurance Premium Subsidy to Farmers.</t>
  </si>
  <si>
    <t>Production of Fingerlings</t>
  </si>
  <si>
    <t>Restructuring of Cooperative Activities</t>
  </si>
  <si>
    <t>Annual Livestock Vaccination Activities</t>
  </si>
  <si>
    <t>Development of Livestock Production Clusters</t>
  </si>
  <si>
    <t>Procure Demonstrating Equipment for the School of Home Economic</t>
  </si>
  <si>
    <t xml:space="preserve">Commercialisation Equipment/ Mechanization support for Small Scale Farms </t>
  </si>
  <si>
    <t>Control of Epizootic Disease</t>
  </si>
  <si>
    <t>Control of Zoonetic Disease</t>
  </si>
  <si>
    <t>Develop Fruits Nursery in Kaduna State</t>
  </si>
  <si>
    <t>Formation of Agricultural Produce Cooperative Societies</t>
  </si>
  <si>
    <t>Orchard Development Programme</t>
  </si>
  <si>
    <t>Price Support-Post-Harvest Produce Purchase</t>
  </si>
  <si>
    <t>Produce Revenue Collection</t>
  </si>
  <si>
    <t xml:space="preserve">Reactivate Livestock Holding Centres </t>
  </si>
  <si>
    <t>Reactive Breeding Centres</t>
  </si>
  <si>
    <t>Registration of Veterinary Premises</t>
  </si>
  <si>
    <t xml:space="preserve">Rehabilitate Farms/Livestock Training Centres </t>
  </si>
  <si>
    <t>Rehabilitate Grazing Reserves</t>
  </si>
  <si>
    <t xml:space="preserve">Renovate Veterinary Laboratory </t>
  </si>
  <si>
    <t xml:space="preserve">Re-Trace 500Km Cattle Stock Routes in Kaduna State </t>
  </si>
  <si>
    <t>Agricultural Loan Scheme</t>
  </si>
  <si>
    <t>Textile Revival Program Cotton Farming</t>
  </si>
  <si>
    <t>FOOTNOTES</t>
  </si>
  <si>
    <t>Drawdown</t>
  </si>
  <si>
    <t>Counterpart</t>
  </si>
  <si>
    <t>Statewide Tree Planting</t>
  </si>
  <si>
    <t>New Industrial Plantation Establishment</t>
  </si>
  <si>
    <t>Management of Plantation Infrastructures at Nimbia Afaka and Ribako</t>
  </si>
  <si>
    <t>Protection/Management of Existing Plantation</t>
  </si>
  <si>
    <t>Conduct of Back to Land Programme</t>
  </si>
  <si>
    <t>Drive Unified Agric Extension Services</t>
  </si>
  <si>
    <t>Procure Extension Field Equipments</t>
  </si>
  <si>
    <t>Promote Agric Enhancement Programme</t>
  </si>
  <si>
    <t>Carry out Commercial Agric Development Project (CADP)</t>
  </si>
  <si>
    <t>NATIONAL FADAMA DEVELOPMENT PROJECT III (AF) - WORLD BANK</t>
  </si>
  <si>
    <t>Drawdown (Grant IDA)</t>
  </si>
  <si>
    <t>COMMERCIAL AGRICULTURE DEVELOPMENT (LEAD STATES) - WORLD BANK</t>
  </si>
  <si>
    <t>Construction of Access Road for Kagoro Hills Tourism Attraction</t>
  </si>
  <si>
    <t>Renovation of General Hassan Usman Katsina Park (Fencing and Landscaping)</t>
  </si>
  <si>
    <t>Provision of Infrastructure at Dry Inland Container Port</t>
  </si>
  <si>
    <t>Design of Technology Parks</t>
  </si>
  <si>
    <t>Textile Revival</t>
  </si>
  <si>
    <t>Pampaida Scale up Program</t>
  </si>
  <si>
    <t>India Exim Loan</t>
  </si>
  <si>
    <t>Rural Feeder Roads Projects</t>
  </si>
  <si>
    <t>KADUNA  POWER SUPPLY COMPANY (KAPSCO)</t>
  </si>
  <si>
    <t>Acquisition of Computers &amp; Accessories for Projects.</t>
  </si>
  <si>
    <t>Completion of Gurara 30 MW Hydro</t>
  </si>
  <si>
    <t>Energy Saving Bulb Programme</t>
  </si>
  <si>
    <t>KAPSCO/B.O.I. Solar Rooftop Initiative</t>
  </si>
  <si>
    <t>Public Housing Public  Private Partnership</t>
  </si>
  <si>
    <t>Kaduna Metropolitan Rapid Rail Transport</t>
  </si>
  <si>
    <t>Kaduna Ring Roads</t>
  </si>
  <si>
    <t>State Trunk Roads Projects</t>
  </si>
  <si>
    <t>Township Roads Projects</t>
  </si>
  <si>
    <t>3x 25MW Power Plant</t>
  </si>
  <si>
    <t>245 MW Kudenda and Gurara Power Plant Completion</t>
  </si>
  <si>
    <t>Construction of Box Culverts</t>
  </si>
  <si>
    <t xml:space="preserve">Supply and Installation of Street Lighting </t>
  </si>
  <si>
    <t xml:space="preserve">Refurbishment and Maintenance of Public Buildings By Facility Management Agency </t>
  </si>
  <si>
    <t xml:space="preserve">Construction and Acquisition of New State Government Administrative Buildings </t>
  </si>
  <si>
    <t>Purchase of Generating Plants</t>
  </si>
  <si>
    <t>Purchase of Refrigerators and Airconditioners</t>
  </si>
  <si>
    <t>Purchase of Transformers</t>
  </si>
  <si>
    <t>(Land Allotees Funds)</t>
  </si>
  <si>
    <t>KADUNA METROPOLITAN RAPID RAIL TRANSPORT - CBN Loan</t>
  </si>
  <si>
    <t>Develop Scientific Glass Technology Centre</t>
  </si>
  <si>
    <t>Provide Research Grants</t>
  </si>
  <si>
    <t xml:space="preserve">Vodacom School Management Solution Services </t>
  </si>
  <si>
    <t>Renewal of Internet Bandwidth to 6 MDAs</t>
  </si>
  <si>
    <t>Develop Web Portal for ICT Services Providers and Transportation Software System</t>
  </si>
  <si>
    <t>Global Partnership for Education (GPE)</t>
  </si>
  <si>
    <t>Teachers Development Programme - DfID Joint Project</t>
  </si>
  <si>
    <t>Provision of Furniture to Junior Secondary Schools</t>
  </si>
  <si>
    <t xml:space="preserve">Renovation of Schools </t>
  </si>
  <si>
    <t>ESSPIN Joint Project</t>
  </si>
  <si>
    <t>GLOBAL PARTNERSHIP FOR EDUCATION (GPE)</t>
  </si>
  <si>
    <t>RE-AWARDIING OF CONTRUCTION OF 6 SCIENCE SCHOOLS ISDB</t>
  </si>
  <si>
    <t>State Counterpart</t>
  </si>
  <si>
    <t>TEACHERS DEVELOPMENT PROJECT - DFID JOINT PROJECT</t>
  </si>
  <si>
    <t>Construction of Teaching Farm for Faculty of Agric. Science, Kaf.</t>
  </si>
  <si>
    <t>Rehabilitation of Academic Conference Building, Kaduna</t>
  </si>
  <si>
    <t>Procurement &amp; Installation of Solar Street Light</t>
  </si>
  <si>
    <t>Staff Training And Development</t>
  </si>
  <si>
    <t>Construction and furnishing of Faculty of Engineering at Kafanchan</t>
  </si>
  <si>
    <t>Construction and Furnishing of Faculty of Science Phase II</t>
  </si>
  <si>
    <t>Construction of 1000 Seat Capacity Auditorium Complex</t>
  </si>
  <si>
    <t xml:space="preserve">Construction of 500 Seat Capacity Lecture Theatre </t>
  </si>
  <si>
    <t>Construction of Classroom/Office Complex at Kafanchan Campus</t>
  </si>
  <si>
    <t>Construction of Clinic (Sick Bay) at Kafanchan</t>
  </si>
  <si>
    <t xml:space="preserve">Construction of Economics Department Building </t>
  </si>
  <si>
    <t>Construction of Faculty Auditorium Complex for SMS</t>
  </si>
  <si>
    <t>Construction of Faculty of Agricultural Science [Phase II]</t>
  </si>
  <si>
    <t>Construction of Faculty of Environmental Sciences Phase II</t>
  </si>
  <si>
    <t>Construction of Farm Center for Animal Science Department, Faculty of Agriculture, Kafanchan Campus</t>
  </si>
  <si>
    <t>Construction of Laboratory Complex at Barau Dikko Teaching Hospital, Kaduna</t>
  </si>
  <si>
    <t>Construction of Multipurpose Science Laboratory Complex</t>
  </si>
  <si>
    <t>Construction of Office Complex at Barau Dikko Teaching Hospital, Kaduna</t>
  </si>
  <si>
    <t xml:space="preserve">Construction of Pharmaceutical Sciences Building </t>
  </si>
  <si>
    <t xml:space="preserve">Construction of Students' IT Park at CBS Campus </t>
  </si>
  <si>
    <t>Construction of Students' IT Park at Kafanchan Campus</t>
  </si>
  <si>
    <t>Construction of Twin Lecture Halls</t>
  </si>
  <si>
    <t>Consultancy Services (A)</t>
  </si>
  <si>
    <t>Consultancy Services on 500 Seats Capacity Lecture Theatre</t>
  </si>
  <si>
    <t>Expansion of Computer Centre At Kaduna</t>
  </si>
  <si>
    <t xml:space="preserve">Furnishing of 500 Seat Capacity Lecture Theatre </t>
  </si>
  <si>
    <t>Furnishing of Clinical Laboratories And Procurement of Teaching Aids</t>
  </si>
  <si>
    <t>Furnishing of Computer Center At Kafanchan</t>
  </si>
  <si>
    <t>Furnishing of the Faculty of Agricultural Science [Phase II]</t>
  </si>
  <si>
    <t>Furnishing of Twin Lecture Halls</t>
  </si>
  <si>
    <t>Procurement of 1 No. Fire Engine</t>
  </si>
  <si>
    <t>Procurement of 1 No. Slasher</t>
  </si>
  <si>
    <t>Procurement of 1 No. Water Tank</t>
  </si>
  <si>
    <t>Procurement of Additional Equipment for Faculty of Medicine (A)</t>
  </si>
  <si>
    <t>Procurement of Equipment for Faculty of Medicine (B)</t>
  </si>
  <si>
    <t>Procurement of Equipment For Department of Biochemistry</t>
  </si>
  <si>
    <t>Procurement of Equipments for Faculty of Medicine Complex</t>
  </si>
  <si>
    <t>Procurement of Equipment for Faculty of Medicine [CT Scan]</t>
  </si>
  <si>
    <t>Procurement of Equipment for Post Graduate Research in the Department of Biochemistry</t>
  </si>
  <si>
    <t>Procurement of Equipment for Selected Departments (A)</t>
  </si>
  <si>
    <t>Purchase of Hospital Equipments (Batch II) for Barau Dikko Teaching Hospital, Kaduna</t>
  </si>
  <si>
    <t>Purchase of Teaching Aids for Barau Dikko Teaching Hospital, Kaduna</t>
  </si>
  <si>
    <t>Supply &amp; Installation of Furniture to Auditorium Complex</t>
  </si>
  <si>
    <t>Various Consultants (G)</t>
  </si>
  <si>
    <t>Construction of Student's IT Park at Kaduna Campus</t>
  </si>
  <si>
    <t>Procurement of Additional Equipments for Faculty of Medicine</t>
  </si>
  <si>
    <t>Purchase of Hospital Equipments (Batch I) for Barau Dikko Teaching Hospital, Kaduna</t>
  </si>
  <si>
    <t>Upgrade of Computer Centre</t>
  </si>
  <si>
    <t>Construction of Vice-Chancellor's Lodge at Kaduna</t>
  </si>
  <si>
    <t>Construction and furnishing of Faculty of Law at Kafanchan Campus</t>
  </si>
  <si>
    <t>Supply &amp; installtion of Automatic Dry Sprinkler Aerosal Fire Suppression and Extinguishing System Fire Device at Kaduna and Kafanchan Campus</t>
  </si>
  <si>
    <t>Purchase of 2no. (30 seater) Students' Buses</t>
  </si>
  <si>
    <t>2 No. Project Monitoring Vehicles [Ford] - 1</t>
  </si>
  <si>
    <t>2 No. Project Monitoring Vehicles [Ford] - 2</t>
  </si>
  <si>
    <t>2 No. Project Monitoring Vehicles [Ford]- 3</t>
  </si>
  <si>
    <t>2 No. Project Monitoring Vehicles [Hilux]</t>
  </si>
  <si>
    <t>Construction and Equipping of 3Nr Workshops at Kafanchan Campus</t>
  </si>
  <si>
    <t>Construction of Multipurpose Technical Laboratory Complex, Kafanchan</t>
  </si>
  <si>
    <t>Construction of Kitchen and Laundry at Barau Dikko Teaching Hospital, Kaduna</t>
  </si>
  <si>
    <t>Construction and Furnishing of Faculty of Engineering at Kafanchan</t>
  </si>
  <si>
    <t>Construction and Furnishing of Faculty of Law at Kafanchan</t>
  </si>
  <si>
    <t xml:space="preserve">Construction of 2No. Twin Lecture Halls </t>
  </si>
  <si>
    <t>Construction of 300 Seat Capacity Lecture Hall at Kafanchan Campus</t>
  </si>
  <si>
    <t>Construction of Computer Centre at Kafanchan</t>
  </si>
  <si>
    <t>Construction of CSSP Unit at Barau Dikko Teaching Hospital, Kaduna</t>
  </si>
  <si>
    <t>Construction of Female Hostel, Kafanchan</t>
  </si>
  <si>
    <t xml:space="preserve">Construction of Gates at Kafanchan </t>
  </si>
  <si>
    <t>Construction of Laboratory Complex at Barau Dikko Teaching Hospita, Kaduna</t>
  </si>
  <si>
    <t xml:space="preserve">Construction of Model Twin Lecture Halls 'A' </t>
  </si>
  <si>
    <t xml:space="preserve">Construction of Model Twin Lecture Halls 'B' </t>
  </si>
  <si>
    <t>Construction of New Accident and Emergency Unit at Barau Dikko Teaching Hospital, Kaduna</t>
  </si>
  <si>
    <t>Construction of Physics Laboratory</t>
  </si>
  <si>
    <t>Construction of Post Graduate Lecture Classes</t>
  </si>
  <si>
    <t>Construction of Public Toilets, Kaduna (A)</t>
  </si>
  <si>
    <t>Construction of Radiology Unit at Barau Dikko Teaching Hospital, Kaduna</t>
  </si>
  <si>
    <t>Construction of Students' IT Park at Kaduna Campus</t>
  </si>
  <si>
    <t>Construction, Furnishing and Supply of Equipment for the Faculty of Social and Management Sciences Phase II</t>
  </si>
  <si>
    <t>Consultancy Service Fee on Construction and Furnishing of Auto-Card/Manual Drafting Studio Complex at Kafanchan</t>
  </si>
  <si>
    <t>Consultancy Service on Construction and Furnishing of Faculty of SMS (Phase II)</t>
  </si>
  <si>
    <t>Consultancy Service on Construction Of Multipurpose Laboratory at Kafanchan</t>
  </si>
  <si>
    <t>Consultancy Service on Procurement of Additional Equipments for Faculty of Medicine</t>
  </si>
  <si>
    <t>Consultancy Services ( C )</t>
  </si>
  <si>
    <t>Consultancy Services Fees</t>
  </si>
  <si>
    <t>Consultancy Services Fees (H)</t>
  </si>
  <si>
    <t>Consultancy Services Fees (Z)</t>
  </si>
  <si>
    <t>Consultancy Services Fees on Construction of 300 Seat Capacity Lecture Hall at Kafanchan</t>
  </si>
  <si>
    <t>Consultancy Services on Supply and Installation of Furniture</t>
  </si>
  <si>
    <t>Expansion and Furnishing of Existing Library at Kaduna Campus</t>
  </si>
  <si>
    <t>Expansion of Computer Centre at Kaduna</t>
  </si>
  <si>
    <t xml:space="preserve">Furnishing of Model Twin Lecture Halls 'F' </t>
  </si>
  <si>
    <t xml:space="preserve">Furnishing of Model Twin Lecture Halls 'G' </t>
  </si>
  <si>
    <t xml:space="preserve">Furnishing of 500 Seats Capacity Lecture Theatre </t>
  </si>
  <si>
    <t>Furnishing of Clinical Laboratories and Procurement of Teaching Aids</t>
  </si>
  <si>
    <t>Furnishing of Clinical Laboratory and Procurement of Teaching Aids</t>
  </si>
  <si>
    <t>Furnishing of Computer Center at Kafanchan</t>
  </si>
  <si>
    <t>Furnishing of Computer Centre at Kaduna</t>
  </si>
  <si>
    <t>Furnishing of Laboratories and Offices at Faculty of Pharmacy School Complex</t>
  </si>
  <si>
    <t>Furnishing of Laboratories at Faculty of Science Complex</t>
  </si>
  <si>
    <t>Furnishing of Post Graduate Lecture Classes (A)</t>
  </si>
  <si>
    <t>Furnishing of Post Graduate Lecture Classes (B)</t>
  </si>
  <si>
    <t>Furnishing of Various Lecture Halls at Faculty of Medicine</t>
  </si>
  <si>
    <t>Installation of Campus Wide Surveillance System and Instructional Facilities</t>
  </si>
  <si>
    <t>Installation, Networking and Configuration of a Dedicated Lan Fibre Optic Internet Backbone for Phases 2-4</t>
  </si>
  <si>
    <t>Procurement of Equipment for Multipurpose Technical Laboratory Complex, Kafanchan.</t>
  </si>
  <si>
    <t>Procurement of Equipments for  Auto-Card / Manual Drafting Studio Complex</t>
  </si>
  <si>
    <t>Procurement of Furniture for Social and Management Science Complex</t>
  </si>
  <si>
    <t>Procurement and Installation of Solar Street Light</t>
  </si>
  <si>
    <t>Procurement and Installation of Lecture Hall Furniture for Faculty of Arts (E)</t>
  </si>
  <si>
    <t xml:space="preserve">Procurement and Installation of Lecture Hall Furniture for Faculty of Social and Management Sciences </t>
  </si>
  <si>
    <t>Procurement and Installation of Printing Equipment for Mass Communication Department</t>
  </si>
  <si>
    <t>Procurement of 1 No. Student Bus</t>
  </si>
  <si>
    <t>Procurement of Additional Equipment for Faculty of Medicine Complex (A)</t>
  </si>
  <si>
    <t>Procurement of Additional Equipment for Faculty of Medicine Complex (B)</t>
  </si>
  <si>
    <t xml:space="preserve">Procurement of Additional Equipment for Faculty of Medicine </t>
  </si>
  <si>
    <t>Procurement of Desk Top Computers (A)</t>
  </si>
  <si>
    <t>Procurement of Desk Top Computers (D)</t>
  </si>
  <si>
    <t>Procurement of Desk Top Computers (S)</t>
  </si>
  <si>
    <t>Procurement of Desk Top Computers (U)</t>
  </si>
  <si>
    <t>Procurement of Equipment for Department of Biochemistry</t>
  </si>
  <si>
    <t>Procurement of Equipment for Department of Biological Sciences</t>
  </si>
  <si>
    <t>Procurement of Equipment for Department of Chemistry</t>
  </si>
  <si>
    <t>Procurement of Equipment for Department of Geography</t>
  </si>
  <si>
    <t>Procurement of Equipment for Department of Mathematical Sciences</t>
  </si>
  <si>
    <t>Procurement of Equipment for Department of Microbiology</t>
  </si>
  <si>
    <t>Procurement of Equipment for Department of Physics</t>
  </si>
  <si>
    <t>Procurement of Equipment for Faculty of Pharmaceutical Science, Kaduna</t>
  </si>
  <si>
    <t xml:space="preserve">Procurement of Equipment for Faculty of Agriculture </t>
  </si>
  <si>
    <t>Procurement of Equipment for Faculty of Medicine Complex</t>
  </si>
  <si>
    <t>Procurement of Equipment for Faculty of Medicine [Ct Scan]</t>
  </si>
  <si>
    <t>Procurement of Equipment for other Selected Departments (A)</t>
  </si>
  <si>
    <t>Procurement of Equipment for other Selected Departments (B)</t>
  </si>
  <si>
    <t>Procurement of Equipment for the Farm Center</t>
  </si>
  <si>
    <t>Procurement of Furniture and Equipment for Library at Kafanchan</t>
  </si>
  <si>
    <t>Procurement of Furniture for the Multipurpose Science Laboratory</t>
  </si>
  <si>
    <t>Procurement of Hospital Furniture and Equipment for the University Sick-Bay</t>
  </si>
  <si>
    <t>Procurement of Physics Laboratory Equipment</t>
  </si>
  <si>
    <t>Provision and Subscription to Stable Internet Connection</t>
  </si>
  <si>
    <t>Purchase of 2No. (30 Seater) Students' Buses and 7No. Faculty Mini-Buses)</t>
  </si>
  <si>
    <t>Purchase of Hospital Equipment (Batch I) for Barau Dikko Teaching Hospital, Kaduna</t>
  </si>
  <si>
    <t>Purchase of Hospital Equipment (Batch II) for Barau Dikko Teaching Hospital, Kaduna</t>
  </si>
  <si>
    <t>Renovation/Rehabilitation of College of Basic Studies Hostel</t>
  </si>
  <si>
    <t>Renovation of Science Lecture Theatre Complex at Kaduna Campus</t>
  </si>
  <si>
    <t xml:space="preserve">Supply and Installation of ICT Equipment and Alternative Power Supply to 1000 Capacity Auditorium. </t>
  </si>
  <si>
    <t>Supply and Installation of Furniture to Auditorium Complex</t>
  </si>
  <si>
    <t>Various Consultants</t>
  </si>
  <si>
    <t>Various Consultants (M)</t>
  </si>
  <si>
    <t>2015 TETFUND SPECIAL INTERVENTION</t>
  </si>
  <si>
    <t>2015 TETFUND NORMAL INTERVENTION</t>
  </si>
  <si>
    <t>2017 PRESIDENTIAL NEEDS ASSESSMENT INTERVENTION</t>
  </si>
  <si>
    <t>2016 TET Fund Normal/Special Intervention Projects</t>
  </si>
  <si>
    <t>TET Fund Normal Intervention for Construction of Buildings, Supplies and Consultancy</t>
  </si>
  <si>
    <t>TET Fund Special Intervention for Construction of Buildings, Supplies and Consultancy</t>
  </si>
  <si>
    <t>2017 TETFUNDS EXPECTED</t>
  </si>
  <si>
    <t>SPECIAL INTERVENTION</t>
  </si>
  <si>
    <t>TETFUND ON-GOING PROJECTS</t>
  </si>
  <si>
    <t>NORMAL INTERVENTION (2010-2012)</t>
  </si>
  <si>
    <t>SPECIAL INTERVENTION (2013-2014)</t>
  </si>
  <si>
    <t>Office Furniture and Wooden Shelves</t>
  </si>
  <si>
    <t>Purchase of  Computers</t>
  </si>
  <si>
    <t>Purchase of Photocopying Machine</t>
  </si>
  <si>
    <t>Purchase of Power Generating Set</t>
  </si>
  <si>
    <t>Purchase of Printers</t>
  </si>
  <si>
    <t>KADUNA STATE AGENCY FOR MASS LITERACY Total</t>
  </si>
  <si>
    <t>Purchase of Air Conditioning Units</t>
  </si>
  <si>
    <t>Purchase of Generators</t>
  </si>
  <si>
    <t>Purchase of Air-Condition HP</t>
  </si>
  <si>
    <t>Purchase of Cabinet</t>
  </si>
  <si>
    <t>Purchase of Desktop System</t>
  </si>
  <si>
    <t>Purchase of Fridge</t>
  </si>
  <si>
    <t>PRIVATE SCHOOL BOARD Total</t>
  </si>
  <si>
    <t>Conducting Schools Evaluation / Data Collection Exercise</t>
  </si>
  <si>
    <t>Construction of a Block of Two Classrooms for ECCDE</t>
  </si>
  <si>
    <t xml:space="preserve">Procurement of Pupils Chairs for ECCDE </t>
  </si>
  <si>
    <t>Procurement of Chairs for ECCDE Teachers</t>
  </si>
  <si>
    <t>Procurement of Tables for ECCDE Teachers</t>
  </si>
  <si>
    <t>Supervision and Monitoring of ECCDE project</t>
  </si>
  <si>
    <t xml:space="preserve">Construction of Two Cubicle of VIP Toilet for Primary Schools </t>
  </si>
  <si>
    <t>Procurement of 2 Seater Pupils Desk/Bench for Primary Schools</t>
  </si>
  <si>
    <t>Procurement of Tables and Chairs for Primary School Teachers</t>
  </si>
  <si>
    <t>Supervision and Monitoring of Primary School Projects</t>
  </si>
  <si>
    <t>Construction of Laboratory for JSS</t>
  </si>
  <si>
    <t>Construction of 2 Cubicle VIP Toilets for JSS</t>
  </si>
  <si>
    <t>Procurement of 2 Seater Students Desk/Bench</t>
  </si>
  <si>
    <t>Procurement of Table and Chairs for JSS Teachers</t>
  </si>
  <si>
    <t>Supervision and Monitoring of JSS Projects</t>
  </si>
  <si>
    <t>Orientation of other LGEA staff, SMOs, QA and other HODs</t>
  </si>
  <si>
    <t>Preparation of SSIT on Evaluation and Tracking</t>
  </si>
  <si>
    <t>UBEC Projects - Federal Funds</t>
  </si>
  <si>
    <t>NUHU BAMALLI POLYTECHNIC ZARIA</t>
  </si>
  <si>
    <t>Construction of Lecture Theatre</t>
  </si>
  <si>
    <t>Construction of 4 Blocks of Storey Building 6 Classroom (TETFUND Project)</t>
  </si>
  <si>
    <t>Construct 2No 250 Seater Twin Lecture Theatres and a Block of 10 Staff Offices in Liberal and Agric Technology Schools (TETFund)</t>
  </si>
  <si>
    <t>Construction of 650 No Wall Panels at Annex and Main Campuses (TET Fund)</t>
  </si>
  <si>
    <t>Construction of 2No Block of 10 Classrooms at Samaru Kataf Campus (TET Fund)</t>
  </si>
  <si>
    <t>Finance Cost of 2 Research and Development by Academic Staff (TET Fund)</t>
  </si>
  <si>
    <t>Rehabilitation of Hostels</t>
  </si>
  <si>
    <t>Rehabilitation of Classrooms</t>
  </si>
  <si>
    <t>Rehabilitation of Offices</t>
  </si>
  <si>
    <t>Construction of Offices</t>
  </si>
  <si>
    <t>Construction of VIP Toilets</t>
  </si>
  <si>
    <t>Procurement  of Furniture</t>
  </si>
  <si>
    <t>Procurement of Vehicles</t>
  </si>
  <si>
    <t>Construction  of Fence</t>
  </si>
  <si>
    <t>Provision of Solar Street Light</t>
  </si>
  <si>
    <t>TETFUNDS (NORMAL INTERVENTION 2016)</t>
  </si>
  <si>
    <t xml:space="preserve">Procurement and Installation of V-SAT Communication at SMoH&amp;HS </t>
  </si>
  <si>
    <t>Procurement of Dialysis Consumables</t>
  </si>
  <si>
    <t>Construction of Wall Fence in Kujama, Turunku, Zangon Kataf, Gwantu and Kwoi General Hospitals</t>
  </si>
  <si>
    <t>CONSTRUCTION OF 300-BED SPECIALIST HOSPITAL (ISDB)</t>
  </si>
  <si>
    <t>TUBERCULOSIS AND LEPROSY CONTROL (NETHERLANDS LEPROSY CONTROL)</t>
  </si>
  <si>
    <t>ONCHOCERCIASIS CONTROL (NGDO WITH WHO)</t>
  </si>
  <si>
    <t>Construction of 60 students capacity Phantum Head Room at Makarfi Main Campus</t>
  </si>
  <si>
    <t>Fencing of Makarfi Main Campus (Western part of the College) and Pambegwa Campus</t>
  </si>
  <si>
    <t>Construction of Drainages within the students Hostels (Block A, B, C &amp; D) at Makarfi Main Campus</t>
  </si>
  <si>
    <t>Construction of Drainages within the Hostels (Block A &amp; B ) at Pambegwa Campus</t>
  </si>
  <si>
    <t>Sinking of 1no motorized borehole with a 10,000 litres overhead tank at Pambegwa Campus</t>
  </si>
  <si>
    <t>Renovation of Admin Block at Makarfi Main Campus</t>
  </si>
  <si>
    <t xml:space="preserve">Purchase of Library Books </t>
  </si>
  <si>
    <t>Purchase of Furniture for the Library Conference Hall at Makarfi Main Campus</t>
  </si>
  <si>
    <t>Renovation and furnishing of College Lecture Theatre at Makarfi main Campus</t>
  </si>
  <si>
    <t>Sinking of 1no motorized bore hole at block 'B' of the Students hostel at Makarfi Main Campus</t>
  </si>
  <si>
    <t>Renovation of College Auditorium at Makarfi Main Campus</t>
  </si>
  <si>
    <t>Renovation and furnishing of Library Complex at Pambegwa Campus</t>
  </si>
  <si>
    <t>Provision of 45no 6 by 1 reading Tables and Chairs for the College Library at Makarfi Main Campus</t>
  </si>
  <si>
    <t>Purchase 6.5KVA Generator set for the College Library Complex at Makarfi Campus</t>
  </si>
  <si>
    <t>Re-roofing of Libarary Complex at Makarfi Main Campus</t>
  </si>
  <si>
    <t>Construction of Sport Complex at Makarfi Main Campus</t>
  </si>
  <si>
    <t xml:space="preserve">Construction and furnishing Bursary Complex at makarfi Main Campus </t>
  </si>
  <si>
    <t>Construction and furnishing of Students' Affairs Unit at Makarfi Main Campus</t>
  </si>
  <si>
    <t>Lot 15 Renovation of Hostel and Supply of Water at Makarfi Main Campus</t>
  </si>
  <si>
    <t>Repairs and Electrical Works in  Blocks A, B and C at Pambeguwa Campus</t>
  </si>
  <si>
    <t>Rehabilitation and Furnishing of College Practice Area Kaduna</t>
  </si>
  <si>
    <t xml:space="preserve">Lot 8 Structural Renovation of Lecture Theatre at Makarfi Main Campus </t>
  </si>
  <si>
    <t>Renovation of Burnt Hostel (Dr. Jumare Hostel) at Makarfi</t>
  </si>
  <si>
    <t>Lot 13 Furnishing of Staff Offices at Pambeguwa Campus for the Accreditation of National Diploma in Community Health and Certificate in Community Health</t>
  </si>
  <si>
    <t>Lot 11 Furnishing of Staff Offices in the Administrative Block  at  Makarfi Main Campus</t>
  </si>
  <si>
    <t>Lot 10 Furnishing of 9No. Offices of Management Staff at Makarfi Main Campus</t>
  </si>
  <si>
    <t>Furnishing of Chem/Bio/Phy Lab at Makarfi Campus</t>
  </si>
  <si>
    <t xml:space="preserve">Lot 1 Furnishing and Equipping of Demonstration Room at School of Community Health Sciences  Pambeguwa for the Accreditation of Diploma in Community Health </t>
  </si>
  <si>
    <t>Lot 18 Renovation of Demonstration Room at Pambeguwa Campus for the Accreditation of National Diploma in Community Health and Certificate in Community Health</t>
  </si>
  <si>
    <t>Lot 3 Renovation of Offices and Library at Pambeguwa Campus for the Accreditation of National Diploma in Community Health and Certificate in Community Health</t>
  </si>
  <si>
    <t>Construction and Equipping of Laboratories (Agric and Home Economics)</t>
  </si>
  <si>
    <t xml:space="preserve">L0T 22  Procurement and Installation of Equipment needed for X-Ray Programme at Makarfi Campus </t>
  </si>
  <si>
    <t>Lot 5 Procurement and Installation of additional Equipment for Technical Drawing Room and Renovation of Demonstration Ground at School of Environmental Health Sciences, Makarfi Main Campus</t>
  </si>
  <si>
    <t>Lot 4 Procurement and Installation of additional 15No. Computers and Accessories for ICT Centre at Makarfi Main Campus</t>
  </si>
  <si>
    <t xml:space="preserve">Lot 2 Procurement and Installation of additional Equipment for Demonstration Room at School of Public Health Nursing, Kaduna Campus  </t>
  </si>
  <si>
    <t>Lot 21 Procurement and Installation of Ultra-Sound machine and other Consumables at Makarfi Campus</t>
  </si>
  <si>
    <t>Lot 20  Procurement and Installation of Equipment for National Diploma, Medical Imaging Technology Programme at Makarfi Main Campus</t>
  </si>
  <si>
    <t xml:space="preserve">Lot 12 Purchase of additional Journals and other relevant Books for the College Library at Makarfi </t>
  </si>
  <si>
    <t>KADUNA STATE COLLEGE OF NURSING AND MIDWIFERY KAFANCHAN</t>
  </si>
  <si>
    <t xml:space="preserve">Procurement of 3 in 1 Student Chairs </t>
  </si>
  <si>
    <t>Procurement of office Furniture for Staff</t>
  </si>
  <si>
    <t>Procurement of Refrigerator</t>
  </si>
  <si>
    <t>Procurement of HP Desktops and HP Laptops</t>
  </si>
  <si>
    <t>Increase in Height of Existing Fence</t>
  </si>
  <si>
    <t>KADUNA STATE COLLEGE OF MIDWIFERY KADUNA</t>
  </si>
  <si>
    <t>Construction and Furnishing of 250 Students Capacity Auditorium</t>
  </si>
  <si>
    <t>Construction and Furnishing of 150 Students Capacity Lecture Hall</t>
  </si>
  <si>
    <t>Procurement of Office Furniture @ College of Midwifery T/Wada</t>
  </si>
  <si>
    <t>Procurement of RH, GN &amp; PHN Books for Library</t>
  </si>
  <si>
    <t>Convocate and Certificate 80 No. Graduate Midwives</t>
  </si>
  <si>
    <t>Construction of 2No Zonal Cold Stores at Zaria and Kafanchan</t>
  </si>
  <si>
    <t>ROUTINE IMMUNIZATION (TRIPATITE MOU)</t>
  </si>
  <si>
    <t>Bill and Melinda Gate Foundation</t>
  </si>
  <si>
    <t>Dangote Foundation</t>
  </si>
  <si>
    <t>DRUGS MEDICAL SUPPLIES MANAGEMENT AGENCY</t>
  </si>
  <si>
    <t>Procure Antiretroviral Drugs Under HIV/AIDS Treatment Program</t>
  </si>
  <si>
    <t>Procure Drugs Under War Against Malaria(WAM) Program</t>
  </si>
  <si>
    <t>Procure Man Diesel delivery Van for the DMA</t>
  </si>
  <si>
    <t>Conduct Business Plan Research for DMA to  Manufacture Essentials Medicines/Pharmaceuticals</t>
  </si>
  <si>
    <t>Procure Familly Planning/Reproductive Health Commodities and Consumables</t>
  </si>
  <si>
    <t>ARV Programming</t>
  </si>
  <si>
    <t>Distribution of Contraceptive</t>
  </si>
  <si>
    <t>Establishment and Maintenance of Comprehensive HIV/AIDs Database for Kaduna State</t>
  </si>
  <si>
    <t xml:space="preserve">Procurement of Laboratory Reagents </t>
  </si>
  <si>
    <t>Intervention in Creative Arts</t>
  </si>
  <si>
    <t>Conduct Women Economic Summit</t>
  </si>
  <si>
    <t>Completion of Children's Home Magajin Gari</t>
  </si>
  <si>
    <t>Construction of Drug Treatment and Rehabilitation Centre</t>
  </si>
  <si>
    <t>Renovation of Social Welfare Offices</t>
  </si>
  <si>
    <t>Upgrading of the Kaduna Remand Home</t>
  </si>
  <si>
    <t>KADUNA STATE REHABILITATION BOARD.</t>
  </si>
  <si>
    <t>Re-Equipping of Rehabilitation Board</t>
  </si>
  <si>
    <t>Refuse Evacuation Exercise</t>
  </si>
  <si>
    <t>Purchase of Office Equipment</t>
  </si>
  <si>
    <t>Purchase of ICT Equipments</t>
  </si>
  <si>
    <t>Procurement and Installation of Laboratory Equipments</t>
  </si>
  <si>
    <t>Desilting/Dredging of River Kaduna</t>
  </si>
  <si>
    <t>Construction of Landfills</t>
  </si>
  <si>
    <t>Drawdown (FGN Grant)</t>
  </si>
  <si>
    <t>Monitoring Sustainable Air Quality</t>
  </si>
  <si>
    <t>Production of Legal Backing Tools / Guidelines</t>
  </si>
  <si>
    <t>Production of Flood / Erosion Control and Climate Change Mitigation Documents</t>
  </si>
  <si>
    <t>Conduct of Administrative Activities</t>
  </si>
  <si>
    <t>Provision of Soft / Hardware Computer Based Environmental Billing System</t>
  </si>
  <si>
    <t>Production of Action Plan On Threatened Fauna / Flora / Water Organisms</t>
  </si>
  <si>
    <t>Design And Development of A Prototype Sustainable Stove for Kaduna</t>
  </si>
  <si>
    <t>Procurement of Hollow Cathode Lamps for AAS</t>
  </si>
  <si>
    <t xml:space="preserve">MINISTRY OF WATER RESOURCES </t>
  </si>
  <si>
    <t>Rehabilitation and Extension of Pipeline Network at Doka Distribution District.</t>
  </si>
  <si>
    <t>Rehabilitation and Extension of Pipeline Network at Rigasa Distribution District.</t>
  </si>
  <si>
    <t>Rehabilitation and Extension of Pipeline Network at Barnawa Distribution District.</t>
  </si>
  <si>
    <t xml:space="preserve"> Consultancy Services for Construction Supervision for Zaria Water Expansion (AfDB)</t>
  </si>
  <si>
    <t>Construct 4,041 No. Sanitation Facilities  at Institutions/Public Places in Zaria LGA (AfDB)</t>
  </si>
  <si>
    <t>Kaduna State Counterpart funding for AfDB</t>
  </si>
  <si>
    <t>Supply and Installation of 4 No Package Plants of 95MLD production Capacity</t>
  </si>
  <si>
    <t>Construction of 170MLD WTP at Itisi</t>
  </si>
  <si>
    <t>Repairs/Rehabilitation Works on Kangimi Dam</t>
  </si>
  <si>
    <t>Conduct Solid Waste Management Study/Pilot Scheme (AfDB)</t>
  </si>
  <si>
    <t>Management and Commercialization Study (AfDB)</t>
  </si>
  <si>
    <t>Construction of 9.8 Km Transmission Main and Two Number 6000Cm Reservoir Tank Contract 3 (IsDB)</t>
  </si>
  <si>
    <t>Construction of Booster Station, Supply and Installation of  Equipment (IsDB)</t>
  </si>
  <si>
    <t>Construction of Service Reservoir at Various Locations (IsDB)</t>
  </si>
  <si>
    <t>Consultancy Services for Islamic Development Bank Loan (IsDB)</t>
  </si>
  <si>
    <t>Provision of Water Meters and Installation of  Connection Pipes (IsDB)</t>
  </si>
  <si>
    <t>Rehabilitation and Expansion Network Distribution at Samaru and Sabon-Gari (AfDB)</t>
  </si>
  <si>
    <t>Rehabilitation and Expansion  Network Distribution at Tudun-Wada, Wusasa and Gwargwaje Zaria  (AfDB)</t>
  </si>
  <si>
    <t>Rehabilitation and Expansion Network Distribution at Zaria City (AfDB)</t>
  </si>
  <si>
    <t>Rehabiliation and Expansion of Urban and Small Town Water Works (AfDB)</t>
  </si>
  <si>
    <t>Rehabilitation of Birnin Gwari Dam</t>
  </si>
  <si>
    <t>Procurement of 1No. Additional State of the Art Drilling Rig and Accompany Equipment</t>
  </si>
  <si>
    <t>Institutionalization of the VLOM Concept in 1350 Communities for Sustainability of WASH Facilities</t>
  </si>
  <si>
    <t>Conduct Quarterly Campaign to Promote Effective Hand Washing in 23 LGAs</t>
  </si>
  <si>
    <t xml:space="preserve">Conduct Workshop for at least 414 CLTS Facilitators in the 23 LGAs </t>
  </si>
  <si>
    <t>120 Sanitation Facilities Constructed in Schools, Health Centres and Market Places, 60,000 People have Access to Sanitation in 9 LGAs</t>
  </si>
  <si>
    <t>FOOTNOES</t>
  </si>
  <si>
    <t>SANITATION HYGIENE AND WATER IN NIGERIA - DFID/UNICEF</t>
  </si>
  <si>
    <t>Design,Installation,Management and Transfer of KADGIS</t>
  </si>
  <si>
    <t>Recovery of Public Lands</t>
  </si>
  <si>
    <t>Survey and Demarcation of Layouts</t>
  </si>
  <si>
    <t>Regularisation/Formalisation</t>
  </si>
  <si>
    <t>Acquisition of Property in Schools and Compensation</t>
  </si>
  <si>
    <t>FOOTNOTE</t>
  </si>
  <si>
    <t>KASUPDA</t>
  </si>
  <si>
    <t>Procurement of Development Control Equipment</t>
  </si>
  <si>
    <t>Digitzation of Kaduna State Television and Expansion of KSMC Radio</t>
  </si>
  <si>
    <t>Repairs and Renovation of Government Printing Department</t>
  </si>
  <si>
    <t>GOVERNMENT PRINTING DEPARTMENT Total</t>
  </si>
  <si>
    <t>KASTELEA</t>
  </si>
  <si>
    <t>Implementing KASTELEA Driving Academy</t>
  </si>
  <si>
    <t>Supply of Operational Gadgets</t>
  </si>
  <si>
    <t>Construction &amp; Equipping of 15 Zonal Offices across Kaduna State</t>
  </si>
  <si>
    <t>Conduct Specialised Training for Employees for the Take-Off of KASTELEA</t>
  </si>
  <si>
    <t xml:space="preserve">Purchase of Uniforms and Kits </t>
  </si>
  <si>
    <t>SECRETARY TO THE STATE GVERNMENT (SSG) OFFICE</t>
  </si>
  <si>
    <t>Establishment of Forensic Laboratory (Centre) to assist in determining substantial evidence in cases that otherwise proved difficult in the past</t>
  </si>
  <si>
    <t>Provision of Computers/ ICT Materials</t>
  </si>
  <si>
    <t>OFFICE OF THE HEAD OF SERVICE Total</t>
  </si>
  <si>
    <t>Construction of Access Road and Internal Road Network</t>
  </si>
  <si>
    <t>Construction of Fence for Male and Female Hostels</t>
  </si>
  <si>
    <t>Construction of Male and Female Students Common Rooms</t>
  </si>
  <si>
    <t>Contruction of 2 Blocks of 4 Classrooms</t>
  </si>
  <si>
    <t>Procurement of Library Materials</t>
  </si>
  <si>
    <t>Renovation/Furnishing Kaduna State Council of Chiefs Chambers at Lugard Hall.</t>
  </si>
  <si>
    <t>Renovation of Chief of Jere Palace at Jere.</t>
  </si>
  <si>
    <t>Construction/ Furnishing of Chief of Godogodo Palace at Gidan Waya.</t>
  </si>
  <si>
    <t>Construction of Block Wall Fence at Chief of Moroa Palace at Manchok Phase 2</t>
  </si>
  <si>
    <t xml:space="preserve">Construction of Council Chambers at Chief of Kauru Palace at Kauru. </t>
  </si>
  <si>
    <t>Completion of Agom Adara Palace phase 2 at Kachia.</t>
  </si>
  <si>
    <t>Construction of Chief of Nyankpa's Palace Bade.</t>
  </si>
  <si>
    <t xml:space="preserve">Beaconing of disputed land between Rumaiya and Kumana Chiefdom of Kauru LGA and Gure in Pririga Chiefdom </t>
  </si>
  <si>
    <t xml:space="preserve">Beaconing of disputed land between Kwaba Community and Baba Kampani of Zazzau Emirate Council </t>
  </si>
  <si>
    <t xml:space="preserve">Beaconing of disputed land between Takad Chiefdom and Kagoro Chiefdom, Kaura LGA </t>
  </si>
  <si>
    <t>Beaconing of disputed land between Adara and Gbagyi Chifedom at Kaso of Chikun LGA and Kachia LGA</t>
  </si>
  <si>
    <t xml:space="preserve">Beaconing of disputed land between Pambeguwa District, Zazzau Emirate and Lamiro District of Kurama Chiefdom </t>
  </si>
  <si>
    <t>Beaconing of disputed land between the District Head of Gwaraje and the people of Gwaraje Community, Igabi LGA</t>
  </si>
  <si>
    <t>Construction of Kpop Gwong Palace at Fadan Kagoma.PHASE 4</t>
  </si>
  <si>
    <t>Furnishing of 6No Zonal Offices of Local Government Inspectors at the 23 Local Government Councils Secretaries</t>
  </si>
  <si>
    <t>Deployment of ITAS</t>
  </si>
  <si>
    <t>IGR/IT Infrastructure</t>
  </si>
  <si>
    <t>Provisions for LGAs Elections</t>
  </si>
  <si>
    <t>KADUNA STATE FACILITIES MANAGEMENT AGENCY (KADFAMA)</t>
  </si>
  <si>
    <t>Furnishing of KADFAMA OFFICE</t>
  </si>
  <si>
    <t>Conduct Monitoring of all Capital Projects Across the State</t>
  </si>
  <si>
    <t>Certification of Projects</t>
  </si>
  <si>
    <t>Conduct of Procurement Audit</t>
  </si>
  <si>
    <t>Production of Procurement Guidelines and Other Related Documents</t>
  </si>
  <si>
    <t>Conduct of Procurement Survey</t>
  </si>
  <si>
    <t>KADIPA</t>
  </si>
  <si>
    <t>Organisational Set-Up Programme</t>
  </si>
  <si>
    <t>Finalize Production of SIP</t>
  </si>
  <si>
    <t>Conduct of Economic Summit</t>
  </si>
  <si>
    <t>Production of Policy Briefs</t>
  </si>
  <si>
    <t>Review and Expansion of State M&amp;E Platform</t>
  </si>
  <si>
    <t>Regular Monitoring Report</t>
  </si>
  <si>
    <t>Continuous Field Monitoring</t>
  </si>
  <si>
    <t>M&amp;E Coordination Meetings</t>
  </si>
  <si>
    <t>Coordination Meetings with Development Partners</t>
  </si>
  <si>
    <t>Counterpart Funding (YESSO, UNICEF,UNFPA, Nutrition, PSR)</t>
  </si>
  <si>
    <t xml:space="preserve"> Support to World Bank Capacity Building Scheme, including BATMIS, CAAT and HRMIS Systems</t>
  </si>
  <si>
    <t>State Residency Card Project</t>
  </si>
  <si>
    <t>Skills Acquisition in Kaduna Prison</t>
  </si>
  <si>
    <t>Law Review</t>
  </si>
  <si>
    <t>Training of State Counsels</t>
  </si>
  <si>
    <t>Publication of 2014 Laws</t>
  </si>
  <si>
    <t>Construction of High Court Complex at Barnawa</t>
  </si>
  <si>
    <t>Construction of Magistrate Courts Across the State</t>
  </si>
  <si>
    <t>Automation of High Courts</t>
  </si>
  <si>
    <t>Construction of Magistrate Courts</t>
  </si>
  <si>
    <t>Procurement of Furniture and Fittings</t>
  </si>
  <si>
    <t>Procurement of Computers</t>
  </si>
  <si>
    <t>E-Judiciary</t>
  </si>
  <si>
    <t xml:space="preserve">Procurement of Court Recording  Machine </t>
  </si>
  <si>
    <t>Construction and Fencing of Customary Courts</t>
  </si>
  <si>
    <t>Furnishing of Newly Constructed Courts</t>
  </si>
  <si>
    <t>Purchase of Computers</t>
  </si>
  <si>
    <t>Construction of Sharia Courts</t>
  </si>
  <si>
    <t>Purchase of Office  Furniture</t>
  </si>
  <si>
    <t>Construction of Judicial Service Commission Office Complex</t>
  </si>
  <si>
    <t>Procurement of Utility Vehicles for the Commission</t>
  </si>
  <si>
    <t>Construction and Installation of Overhead Tanks At Lugard Hall Complex.</t>
  </si>
  <si>
    <t>Design and Construction of Offices</t>
  </si>
  <si>
    <t>Construction of Car Parks</t>
  </si>
  <si>
    <t>Construction / Provision of Roads within the Complex</t>
  </si>
  <si>
    <t>Purchase of Law Books</t>
  </si>
  <si>
    <t>Rehabilitation of Street Light and Security Light</t>
  </si>
  <si>
    <t>Purchase Of Generator Sets</t>
  </si>
  <si>
    <t>BREAKDOWN OF DRAFT CAPITAL DEVELOPMENT RECEIPTS</t>
  </si>
  <si>
    <t>Ministry for Rural and Community Development</t>
  </si>
  <si>
    <t>MINISTRY FOR RURAL AND COMMUNITY DEVELOPMENT</t>
  </si>
  <si>
    <t>Gaseous Emission Charges</t>
  </si>
  <si>
    <t>Annual Allowance</t>
  </si>
  <si>
    <t>Basic salary</t>
  </si>
  <si>
    <t>GOVERNMENT GIRLS SECONDARY SCHOOL, KWOI</t>
  </si>
  <si>
    <t>SCIENCE SECONDARY SCHOOL,  IKARA</t>
  </si>
  <si>
    <t>GOVERNMENT SCIENCE SECONDARY SCHOOL, BIRNIN GWARI</t>
  </si>
  <si>
    <t>011100100600</t>
  </si>
  <si>
    <t>011100200200</t>
  </si>
  <si>
    <t>01103700100</t>
  </si>
  <si>
    <t xml:space="preserve"> Budget Preparation Expenses</t>
  </si>
  <si>
    <t>SCIENCE SECONDARY SCHOOL, KUFENA</t>
  </si>
  <si>
    <t>C0LLEGE OF NURSING AND MIDWIFERY, KAFANCHAN</t>
  </si>
  <si>
    <t>OFFICE OF THE SECRETARY TO THE STATE GOVERNMENT</t>
  </si>
  <si>
    <t>LIAISON OFFICE, ABUJA</t>
  </si>
  <si>
    <t>QUALITY ASSURANCE BOARD - MOES&amp;T</t>
  </si>
  <si>
    <t>Draft Estimates 2017</t>
  </si>
  <si>
    <t>Propsed Estimates 2018</t>
  </si>
  <si>
    <t>Duty Tour Allowance-Civil Servant</t>
  </si>
  <si>
    <t>Provisional sum for Recruitment/Appointment</t>
  </si>
  <si>
    <t>Recurrent Grants to Other Org. &amp; Agencies</t>
  </si>
  <si>
    <t>Govt 10% to Staff Pension Scheme</t>
  </si>
  <si>
    <t>Internal Public Debt- Principal Repayment</t>
  </si>
  <si>
    <t>Maint. Of Computer &amp; ICT Equipment Dumpsites &amp; Evacuation of cacases</t>
  </si>
  <si>
    <t>CRFC Salaries/Allowance Chairman Civil Service Comm.</t>
  </si>
  <si>
    <t>CRFC Salaries/Allowance Chairman Local Government.Serv.Comm.</t>
  </si>
  <si>
    <t>CFRCSalaries/Allowance Chairman Judicial Service Comm.</t>
  </si>
  <si>
    <t>CRFC Salaries/Allowance Chairman Teachers Service  Board</t>
  </si>
  <si>
    <t>CRFC Salaries/Allowance Assembly Service Commission.</t>
  </si>
  <si>
    <t>International Transport and Travel-Passages</t>
  </si>
  <si>
    <t>Int'l &amp; Travelling ( Muslims &amp; Christians )</t>
  </si>
  <si>
    <t>Economic &amp; Fin. Consulting Services</t>
  </si>
  <si>
    <t>Transort Allowance</t>
  </si>
  <si>
    <t>Maintenance of Motor Vehicle/Transport Equipments</t>
  </si>
  <si>
    <t>Maintenance Of Computer &amp; ICT Equipment dumpsites &amp; Evacuation of cacases</t>
  </si>
  <si>
    <t>Motor Vehicle Maintenance &amp; Fuelling Allowance</t>
  </si>
  <si>
    <t>Maintenanc of Dumpsites &amp; Evacuation of cacases</t>
  </si>
  <si>
    <t xml:space="preserve">Basic Wages </t>
  </si>
  <si>
    <t>Duty Tour Allowance-Civil Servants</t>
  </si>
  <si>
    <t>Financial Consulting Services</t>
  </si>
  <si>
    <t>Propsed Estimates 2019</t>
  </si>
  <si>
    <t>Recruitment and Appointment (Service Wide)</t>
  </si>
  <si>
    <t>Duty tour Allowance-Civil Servants</t>
  </si>
  <si>
    <t>Abattoir Slaughtering Houses/ Meat Sanitation Fees</t>
  </si>
  <si>
    <t>Cooperative Society Audit &amp; Supervision Fees</t>
  </si>
  <si>
    <t>Sales of Fire Wood</t>
  </si>
  <si>
    <t>Sales of other Forest Produce- Poles</t>
  </si>
  <si>
    <t>Rent of Shops, WareHouse, Expo Hall at Kaduna International Trade Fair Complex</t>
  </si>
  <si>
    <t>KADUNA GEOGRAPHIC INFORMATION SERVICE (KADGIS)</t>
  </si>
  <si>
    <t>MINISTRY  OF RURAL AND COMMUNITY DEVELOPMENT</t>
  </si>
  <si>
    <t xml:space="preserve"> School /Tuition Fees</t>
  </si>
  <si>
    <t>Magistrate  Court Fines</t>
  </si>
  <si>
    <t>Magistrate Court Fees</t>
  </si>
  <si>
    <t>Customary Court Fines</t>
  </si>
  <si>
    <t>Court Fines</t>
  </si>
  <si>
    <t>Court Fees</t>
  </si>
  <si>
    <t>Customary Court Fees</t>
  </si>
  <si>
    <t>Customary Court Oath/Fees</t>
  </si>
  <si>
    <t>Sales of Obsolete Stores</t>
  </si>
  <si>
    <t>Sales of Reflective Jackets</t>
  </si>
  <si>
    <t>TEST, TRAINING &amp; W/SHOP INSPECTION FEES</t>
  </si>
  <si>
    <t>COMMERCIAL M/CYCLE TEST FEES</t>
  </si>
  <si>
    <t>STREETLIGHT POLES ADVERTISEMENT FEES</t>
  </si>
  <si>
    <t>Workshop and Seminar Charges</t>
  </si>
  <si>
    <t>Rent on Government Buildings ( Conference Hall Hire)</t>
  </si>
  <si>
    <t>Lease/Rental of Government Property(Towing Van)</t>
  </si>
  <si>
    <t>Registration of Associations Fees</t>
  </si>
  <si>
    <t>Renewal of Registered Associations Fees</t>
  </si>
  <si>
    <t>Stadium Charges</t>
  </si>
  <si>
    <t>Hiring of Facilities Fees</t>
  </si>
  <si>
    <t>Registration of Artists Fees</t>
  </si>
  <si>
    <t>arnings from State Cultural Groups (Bazobe)</t>
  </si>
  <si>
    <t>Hall Hiring Fees</t>
  </si>
  <si>
    <t>Sales of P.G. Application Forms Fees</t>
  </si>
  <si>
    <t>Renewal of Contractors Fees</t>
  </si>
  <si>
    <t>SIWES/Field/ITF Fees</t>
  </si>
  <si>
    <t>Health Insurance Scheme/Third Party</t>
  </si>
  <si>
    <t>NON-INDIGENES (TUITION) FEES</t>
  </si>
  <si>
    <t>Sale of School Prospectus</t>
  </si>
  <si>
    <t>Science practical ees</t>
  </si>
  <si>
    <t>Stamp Duty Fees</t>
  </si>
  <si>
    <t>Boarding fees</t>
  </si>
  <si>
    <t xml:space="preserve">ID cards </t>
  </si>
  <si>
    <t>Clubs &amp; Societies Fees</t>
  </si>
  <si>
    <t>DIALYSIS SERVICES FEES</t>
  </si>
  <si>
    <t>Search fees</t>
  </si>
  <si>
    <t>011102100100</t>
  </si>
  <si>
    <t>011103700100</t>
  </si>
  <si>
    <t>051702600300</t>
  </si>
  <si>
    <t>051702600900</t>
  </si>
  <si>
    <t>EAR,NOSE AND THROAT</t>
  </si>
  <si>
    <t>MORTUARY/STORAGE FEES</t>
  </si>
  <si>
    <t>Record of Practical Instructional &amp; Clinical Experience</t>
  </si>
  <si>
    <t>COLLEGE OF MIDWIFERY, TUDUN WADA, KADUNA</t>
  </si>
  <si>
    <t xml:space="preserve">Overhead Cost </t>
  </si>
  <si>
    <t>023405400300</t>
  </si>
  <si>
    <t>023800200100</t>
  </si>
  <si>
    <t xml:space="preserve">JUDICIAL SERVICE COMMISSION </t>
  </si>
  <si>
    <t>MINISTRY OF JUSTICE -TOTAL</t>
  </si>
  <si>
    <t>HIGH COURT OF JUSTICE- TOTAL</t>
  </si>
  <si>
    <t>CUSTOMARY COURT OF APPEAL -TOTAL</t>
  </si>
  <si>
    <t>SHARIA COURT OF APPEAL -TOTAL</t>
  </si>
  <si>
    <t>MINISTRY OF YOUTH, SPORTS AND CULTURE- TOTAL</t>
  </si>
  <si>
    <t>MINISTRY OF WOMEN AFFAIRS AND SOCIAL DEVELOPMENT-  TOTAL</t>
  </si>
  <si>
    <t>KADUNA STATE REHABILITATION BOARD- TOTAL</t>
  </si>
  <si>
    <t>MINISTRY OF EDUCATION, SCIENCE AND TECHNOLOGY -TOTAL</t>
  </si>
  <si>
    <t>STATE UNIVERSAL BASIC EDUCATION BOARD -TOTAL</t>
  </si>
  <si>
    <t>KADUNA STATE LIBRARY BOARD- TOTAL</t>
  </si>
  <si>
    <t>KADUNA STATE AGENCY FOR MASS LITERACY -TOTAL</t>
  </si>
  <si>
    <t>NUHU BAMALLI POLYTECHNIC, ZARIA -TOTAL</t>
  </si>
  <si>
    <t>COLLEGE OF EDUCATION,GIDAN WAYA  -TOTAL</t>
  </si>
  <si>
    <t>KADUNA STATE UNIVERSITY -TOTAL</t>
  </si>
  <si>
    <t>KADUNA CAPITAL SCHOOL- TOTAL</t>
  </si>
  <si>
    <t>BAREWA COLLEGE ZARIA- TOTAL</t>
  </si>
  <si>
    <t>ALHUDAHUDA COLLEGE, ZARIA- TOTAL</t>
  </si>
  <si>
    <t>SARDAUNA MEMORIAL COLLEGE, KADUNA- TOTAL</t>
  </si>
  <si>
    <t>GOVERNMENT COLLEGE, KADUNA -TOTAL</t>
  </si>
  <si>
    <t>QUEEN AMINA COLLEGE, KADUNA -TOTAL</t>
  </si>
  <si>
    <t>GOVERNMENT SECONDARY  SCHOOL, KAGORO -TOTAL</t>
  </si>
  <si>
    <t>GOVERNMENT SECONDARY SCHOOL FADAN, KAJE -TOTAL</t>
  </si>
  <si>
    <t>RIMI COLLEGE, KADUNA -TOTAL</t>
  </si>
  <si>
    <t>GOVERNMENT GIRLS' COLLEGE, ZONKWA- TOTAL</t>
  </si>
  <si>
    <t>TEACHERS SERVICE BOARD -TOTAL</t>
  </si>
  <si>
    <t>SCIENCE AND TECHNICAL SCHOOLS MANAGEMENT BOARD -TOTAL</t>
  </si>
  <si>
    <t>SCIENCE SECONDARY SCHOOL, KUFENA -TOTAL</t>
  </si>
  <si>
    <t>GOVT GIRLS SCIENCE SECONDARY SCHOOL, SOBA</t>
  </si>
  <si>
    <t>GOVT GIRLS SCIENCE SECONDARY SCHOOL, SOBA-TOTAL</t>
  </si>
  <si>
    <t>GOVERNMENT GIRLS SECONDARY SCHOOL, KWOI -TOTAL</t>
  </si>
  <si>
    <t>SCIENCE SECONDARY SCHOOL,  IKARA -TOTAL</t>
  </si>
  <si>
    <t>GOVERNMENT SCIENCE SECONDARY SCHOOL, BIRNIN GWARI -TOTAL</t>
  </si>
  <si>
    <t>GOVERNMENT COLLEGE , KAGORO -TOTAL</t>
  </si>
  <si>
    <t>KADUNA STATE SCHOLARSHIP BOARD -TOTAL</t>
  </si>
  <si>
    <t>PRIVATE SCHOOLS BOARD- TOTAL</t>
  </si>
  <si>
    <t>MINISTRY OF HEALTH AND HUMAN SERVICES- TOTAL</t>
  </si>
  <si>
    <t>STATE PRIMARY HEALTH CARE DEVELOPMENT AGENCY -TOTAL</t>
  </si>
  <si>
    <t>C0LLEGE OF NURSING AND MIDWIFERY, KAFANCHAN- TOTAL</t>
  </si>
  <si>
    <t>SHEHU IDRIS COLLEGE OF HEALTH SCIENCES AND TECHNOLOGY,MAKARFI -TOTAL</t>
  </si>
  <si>
    <t>KADUNA INVESTMENT PROMOTION AGENCY (KADIPA)- TOTAL</t>
  </si>
  <si>
    <t>BARAU DIKKO TEACHING HOSPITAL, KADUNA -TOTAL</t>
  </si>
  <si>
    <t>COLLEGE OF MIDWIFERY, TUDUN WADA, KADUNA -TOTAL</t>
  </si>
  <si>
    <t>DRUGS AND MEDICAL SUPPLIES MANAGEMENT AGENCY -TOTAL</t>
  </si>
  <si>
    <t>Personnel Cost -Total</t>
  </si>
  <si>
    <t>Overhead Cost -Total</t>
  </si>
  <si>
    <t>GOVERNMENT HOUSE -TOTAL</t>
  </si>
  <si>
    <t>Overhead Cost- Total</t>
  </si>
  <si>
    <t>KADUNA GEOGRAPHIC INFORMATION SERVICE -TOTAL</t>
  </si>
  <si>
    <t>KADUNA STATE URBAN PLANNING AND DEVELOPMENT AGENCY- TOTAL</t>
  </si>
  <si>
    <t>Personnel Cost- Total</t>
  </si>
  <si>
    <t>GOVERNMENT PRINTING DEPARTMENT- TOTAL</t>
  </si>
  <si>
    <t>DEPARTMENT OF PUBLIC AFFAIRS -TOTAL</t>
  </si>
  <si>
    <t>MINISTRY OF RURAL AND COMMUNITY DEVELOPMENT- TOTAL</t>
  </si>
  <si>
    <t>KADUNA POWER SUPPLY COMPANY LIMITED (KAPSCO)- TOTAL</t>
  </si>
  <si>
    <t>0FFICE OF THE SECRETARY TO THE STATE GOVERNMENT- TOTAL</t>
  </si>
  <si>
    <t>INDUSTRIALIZATION AND MICRO CREDIT MANAGEMENT BOARD -TOTAL</t>
  </si>
  <si>
    <t>STATE EMERGENCY MANAGEMENT AGENCY -TOTAL</t>
  </si>
  <si>
    <t>KADUNA STATE PUBLIC PROCUREMENT AUTHORITY-TOTAL</t>
  </si>
  <si>
    <t>LIAISON OFFICE, ABUJA -TOTAL</t>
  </si>
  <si>
    <t xml:space="preserve">Personnel Cost -Total </t>
  </si>
  <si>
    <t>KADUNA STATE AIDS CONTROL AGENCY -TOTAL</t>
  </si>
  <si>
    <t>BUREAU OF PUBLIC SERVICE REFORMS- TOTAL</t>
  </si>
  <si>
    <t>BUREAU OF STATE PENSION -TOTAL</t>
  </si>
  <si>
    <t>MUSLIMS PILGRIMS WELFARE BOARD -TOTAL</t>
  </si>
  <si>
    <t>CHRISTIANS PILGRIMS WELFARE BOARD- TOTAL</t>
  </si>
  <si>
    <t>Personnel Cost- total</t>
  </si>
  <si>
    <t>KADUNA STATE LEGISLATURE- TOTAL</t>
  </si>
  <si>
    <t>KADUNA STATE ASSEMBLY SERVICE COMMISSION -TOTAL</t>
  </si>
  <si>
    <t>OFFICE OF THE HEAD OF SERVICE -TOTAL</t>
  </si>
  <si>
    <t>BUREAU OF ESTABLISHMENTS, MANAGEMENT SERVICES AND TRAINING -TOTAL</t>
  </si>
  <si>
    <t>KADUNA STATE PUBLIC SERVICE INSTITUTE (KAPSI) -TOTAL</t>
  </si>
  <si>
    <t>OFFICE OF THE STATE AUDITOR-GENERAL -TOTAL</t>
  </si>
  <si>
    <t>CIVIL SERVICE COMMISSION, KADUNA STATE- TOTAL</t>
  </si>
  <si>
    <t>STATE INDEPENDENT ELECTORAL COMMISSION -TOTAL</t>
  </si>
  <si>
    <t>OFFICE OF THE AUDITOR-GENERAL (LOCAL GOVERNMENTS) -TOTAL</t>
  </si>
  <si>
    <t>LOCAL GOVERNMENT SERVICE COMMISSION- TOTAL</t>
  </si>
  <si>
    <t>MINISTRY OF AGRICULTURE AND FORESTRY- TOTAL</t>
  </si>
  <si>
    <t>KADUNA STATE AGRICULTURAL DEVELOPMENT PROJECT -TOTAL</t>
  </si>
  <si>
    <t>KADUNA STATE FOREST MANAGEMENT PROJECT- TOTAL</t>
  </si>
  <si>
    <t>MINISTRY OF FINANCE KADUNA STATE -TOTAL</t>
  </si>
  <si>
    <t>OFFICE OF THE ACCOUNTANT GENERAL (CENTRALIZED HEADS)</t>
  </si>
  <si>
    <t>OFFICE OF THE ACCOUNTANT GENERAL (CENTRALIZED HEADS)- TOTAL</t>
  </si>
  <si>
    <t>KADUNA STATE INTERNAL REVENUE SERVICE -TOTAL</t>
  </si>
  <si>
    <t>MINISTRY OF COMMERCE,  INDUSTRY AND TOURISM -TOTAL</t>
  </si>
  <si>
    <t>MINISTRY OF WORKS HOUSING AND TRANSPORT- TOTAL</t>
  </si>
  <si>
    <t>KADUNA STATE PUBLIC WORKS AGENCY- TOTAL</t>
  </si>
  <si>
    <t>KADUNA STATE TRAFFIC AND ENVIRONMENTAL LAW ENFORCEMENT AGENCY -TOTAL</t>
  </si>
  <si>
    <t>MINISTRY OF ENVIRONMENT AND NATURAL RESOURCES -TOTAL</t>
  </si>
  <si>
    <t>KADUNA STATE ENVIRONMENTAL PROTECTION AUTHORITY -TOTAL</t>
  </si>
  <si>
    <t xml:space="preserve">Personnel Cost- Total </t>
  </si>
  <si>
    <t>MINISTRY OF BUDGET AND PLANNING -TOTAL</t>
  </si>
  <si>
    <t>KADUNA STATE BUREAU OF STATISTICS -TOTAL</t>
  </si>
  <si>
    <t>MINISTRY OF WATER RESOURCES -TOTAL</t>
  </si>
  <si>
    <t>RURAL WATER SUPPLY AND SANITATION AGENCY -TOTAL</t>
  </si>
  <si>
    <t>JUDICIAL SERVICE COMMISSION -TOTAL</t>
  </si>
  <si>
    <t>Development of Market(s) (Zaria and Kafanchan)</t>
  </si>
  <si>
    <t>Seed Capital for Entrepreneurial HUB, ICT HUB, Skills Acquisition Centre and Vocational Training Schools</t>
  </si>
  <si>
    <t>Assistance to 920 Community Development Self - Help Projects</t>
  </si>
  <si>
    <t>Upgrading of E-Library</t>
  </si>
  <si>
    <t>Purchase of Teaching /Learning Aids Equipment</t>
  </si>
  <si>
    <t xml:space="preserve">Completion and Upgrading of PHC F/Kagoma to a Rural Hospital </t>
  </si>
  <si>
    <t xml:space="preserve">Procurement of 6No. Ambulances for the 6 Major General </t>
  </si>
  <si>
    <t>Construction of Trauma Centre at Rural Hospital, Doka</t>
  </si>
  <si>
    <t>Onchocerciasis Control Unit</t>
  </si>
  <si>
    <t>Malaria Control programe</t>
  </si>
  <si>
    <t>Procurement of Medical and Non Medical Equipments for 300 Bed specialist Hospital.</t>
  </si>
  <si>
    <t xml:space="preserve">Completion of Pambegwa Campus Bridge </t>
  </si>
  <si>
    <t>Purchase of 3No 32 seater Coaster buses for students</t>
  </si>
  <si>
    <t>Purchase of 14No Official Cars for Principal Officers and Directors. Ambulances and 1no Security Motor Van</t>
  </si>
  <si>
    <t>Construction and furnishing of 70 Students seater capacity Chemistry Laboratory for School of General Health Sciences at Makarfi Main Campus</t>
  </si>
  <si>
    <t xml:space="preserve">Purchase and installation of 50KVA Peckins Generating plant for Pambegwa Campus </t>
  </si>
  <si>
    <t>Re-Construction of Convocation Square at Makarfi Main Campus</t>
  </si>
  <si>
    <t>Purchase of 75 No Journal and 50 No Periodicals for the College Library</t>
  </si>
  <si>
    <t>Construction and furnishing of additional lecture Hall of  70 No  Students  capacity at Makarfi Main Campus</t>
  </si>
  <si>
    <t xml:space="preserve">Construction and furnishing of Entrepreneurship centre at Makarfi Main Campus </t>
  </si>
  <si>
    <t>Construction of Store House at Makarfi Main Campus</t>
  </si>
  <si>
    <t>Provision of 500KVA Generating plant for Makarfi Main Campus</t>
  </si>
  <si>
    <t>Procurement and Installation Equipments needed at Demonstration Room, Pambegwa Campus</t>
  </si>
  <si>
    <t>Construction, furnishing and installation of connectivity for a 35No seating capacity e-library at Pambegwa Campus</t>
  </si>
  <si>
    <t xml:space="preserve">Provision of 2200 No Convocation Gowns </t>
  </si>
  <si>
    <t>Supply and install 30No Solar Powered light (20No for Makarfi and 10No for Pambegwa Campuses)</t>
  </si>
  <si>
    <t>Accreditation and Re-accrediattion of programmes and purchase of teaching aids and instructional materials</t>
  </si>
  <si>
    <t>Procurement of Equipments for Social Development Laboratories</t>
  </si>
  <si>
    <t>Reconstruction of 2No. Collapsed Septic Tanks and Suckaway at Female Hostel Makarfi Main Campus</t>
  </si>
  <si>
    <t xml:space="preserve">Lot 6 Construction of Weather Station and Combusting Chamber, for the Accreditation of Environmental Health Sciences at Makarfi Main Campus     </t>
  </si>
  <si>
    <t xml:space="preserve">Lot 7   Procurement And Installation of Equipments for Accreditation of School of Midwifery, Kaduna </t>
  </si>
  <si>
    <t>Lot 17  Procurement and Installation of  Equipments for HND Dental Technology At Makarfi Main Campus</t>
  </si>
  <si>
    <t>Lot  14  Procurement and Installation of additional Equipments for the Accreditation of Physiotherapy, Makarfi Campus</t>
  </si>
  <si>
    <t xml:space="preserve">Lot 19   Procurement and Installation of Equipments needed for National Diploma, Community Health Sciences  </t>
  </si>
  <si>
    <t>Purchase of Equipments for Re - accreditation</t>
  </si>
  <si>
    <t>Purchase of Equipments for Accreditation</t>
  </si>
  <si>
    <t>Construction of Sporting Fields @ College of Midwifery T/Wada</t>
  </si>
  <si>
    <t>Procurement of Demonstration and Teaching Aids and Models @ College of Midwifery T/Wada</t>
  </si>
  <si>
    <t>Procurement of required books and Journals for the Library @ College of Midwifery T/Wada</t>
  </si>
  <si>
    <t xml:space="preserve">Accreditation of PHN and GN @ College of Midwifery T/Wada </t>
  </si>
  <si>
    <t>Procurement of Printers and Photocopier</t>
  </si>
  <si>
    <t>Renovation of  the Perimeter Fence &amp; Main Gate and Landscape Terrain of DMA</t>
  </si>
  <si>
    <t>Construction of  One Zonal Medical Store in Kafanchan</t>
  </si>
  <si>
    <t>Construction of  One Zonal Medical Store  Zaria</t>
  </si>
  <si>
    <t xml:space="preserve">Construction of  2 No. Modern Cold Rooms at the DMA </t>
  </si>
  <si>
    <t>Condom Programming</t>
  </si>
  <si>
    <t>Rehabilitation/Renovation of Kachia Stadium</t>
  </si>
  <si>
    <t>Rehabilitation/Renovation of Birnin Gwari Stadium</t>
  </si>
  <si>
    <t>Maintenance of Women Multipurpose Center</t>
  </si>
  <si>
    <t>Renovation of the Gazara Reformatory School</t>
  </si>
  <si>
    <t>Conduct Quarterly Monitoring of Capital Projects</t>
  </si>
  <si>
    <t>Conduct Training on Entrepreneurship Programmes</t>
  </si>
  <si>
    <t>Rehabilitation of  WF Patients in Kaduna State</t>
  </si>
  <si>
    <t>Rehabilitation of Destitute Centers and School for Persons with Disbility</t>
  </si>
  <si>
    <t>Geophysical/Geochemical Survey of 3 Mineral Deposits Sites</t>
  </si>
  <si>
    <t>Purchase of Office Equipments</t>
  </si>
  <si>
    <t>Purchase of Office Furniture</t>
  </si>
  <si>
    <t>Restoration of River Kaduna Biodiversity Programme</t>
  </si>
  <si>
    <t>Development of  Standard Toilets for Citizens of Kaduna</t>
  </si>
  <si>
    <t>Provision of Waste Management Equipments</t>
  </si>
  <si>
    <t>Procurement of Air Pollution Measurement Metre (Afroqual 500 Environment Portable Monitor)</t>
  </si>
  <si>
    <t>Consultancy Services and Construction of 10 No Tubewells at Bagoma Dam Birnin Gwari LGA</t>
  </si>
  <si>
    <t>Construction of  New 150 MLD Treatment Plant in Zaria</t>
  </si>
  <si>
    <t>Rehabilitation .of  ABU Water Treatment Plant to Optimal Production Capacity of 3.5MLD at Zaria</t>
  </si>
  <si>
    <t>Rehabilitation and Retrofiting of Pumps and Equipment at Kaduna North New Water Works.</t>
  </si>
  <si>
    <t>Rehabilitation and Retrofiting of Pumps and Equipment at Kaduna North Old Water Works.</t>
  </si>
  <si>
    <t>Rehabilitation and Retrofiting of Pumps and Equipment at Kaduna South Water Works.</t>
  </si>
  <si>
    <t>Rehabilitation and Retrofiting of Pumps and Equipment at   Kafanchan and Kagoro Water Works.</t>
  </si>
  <si>
    <t>Rehabilitation and Retrofiting of Pumps and Equipment at Manchok Water Works.</t>
  </si>
  <si>
    <t>Rehabilitation and Retrofiting of Pumps and Equipment at Saminaka Water Works.</t>
  </si>
  <si>
    <t>Contruction of  3No. Solar Powered Boreholes Schemes with Storage Facilities at Inland Dry Port Kaduna</t>
  </si>
  <si>
    <t>Expansion of   Water Distribution Network  407.71KM and Rehabilitation of  61.58KM of Distribution Network (AfDB)</t>
  </si>
  <si>
    <t>Construction of  10 Service Reservoir and 77KM of Transmission Mains (IsDB)</t>
  </si>
  <si>
    <t>Connection of  20,000 Household with Water Meters (AfDB)</t>
  </si>
  <si>
    <t>Rehabilitation and Retrofiting of Pumps and Equipment at Kwoi Water Works.</t>
  </si>
  <si>
    <t>Rehabilitation and Retrofiting of Pumps and Equipment at Ikara Water Works.</t>
  </si>
  <si>
    <t>Rehabilitation and Retrofiting of Pumps and Equipment at Zaria Old Water Works.</t>
  </si>
  <si>
    <t>Rehabilitation and Retrofiting of Pumps and Equipment at Zaria New Water Works.</t>
  </si>
  <si>
    <t>Rehabilitation and Retrofiting of Pumps and Equipment at Birnin Gwari Water Works.</t>
  </si>
  <si>
    <t>Rehabilitation and Conversion of 28 No. Semi Urban Scheme Powered by Solar Energy</t>
  </si>
  <si>
    <t>Rehabilitation and Extension of Pipeline Network at Kaduna, Zonkwa, Kwoi, Kafanchan/Kagoro, Saminaka and Ikara Distribution District.</t>
  </si>
  <si>
    <t>Construction of  Additional 1,915 Hand Pump Boreholes (State/UNICEF)</t>
  </si>
  <si>
    <t>Refurbising / Maintenance of 3 Units Drilling Rigs/ Components and  Purchase of Workshop Materials</t>
  </si>
  <si>
    <t>Rehabilitation of  1,500 Hand Pump Boreholes (State/UNICEF)</t>
  </si>
  <si>
    <t>Conduct  Workshop to Review State Wide ODF Plan</t>
  </si>
  <si>
    <t xml:space="preserve">Conduct Workshop to Develop LGA Wide Plans for Elimination of Open Defecation (ODF) in 23 LGAs </t>
  </si>
  <si>
    <t xml:space="preserve">  Contract Management,WASH Facility Tracking Media and Publicity,Documentations, Supervision and other Logistic to all Project Sites </t>
  </si>
  <si>
    <t>Provision for Payment of Comprehensive Insurance Cover for Toyota Hilux Vehicles, Commissioning and Hand Over Ceremony, Registration, Branding and other Logistics</t>
  </si>
  <si>
    <t>Construction of 409 Hand Pump Boreholes Water Supply Facilities for Beneficiaries in 9 LGAs</t>
  </si>
  <si>
    <t>Mechanism for Tracking, Monitoring, Contract Management Media and Publicity, Supervision and other Logistics to all Project Sites</t>
  </si>
  <si>
    <t>Systematic Property Registration Programme.SLT-R1</t>
  </si>
  <si>
    <t xml:space="preserve"> Procurement of Demolition Equipments</t>
  </si>
  <si>
    <t>Fencing of Government land</t>
  </si>
  <si>
    <t xml:space="preserve">Conduct of Research on Flood </t>
  </si>
  <si>
    <t>Construction of Headquarters Permanent Office(Mogadishu Layout)</t>
  </si>
  <si>
    <t>Survey,Identification and Mapping of Street Naming and House Numbering Exercise</t>
  </si>
  <si>
    <t>Project Implementation Process on Street Naming and House Numbering Exercise</t>
  </si>
  <si>
    <t>Identification/ Documentation of Existing Roundabouts</t>
  </si>
  <si>
    <t>Rebranding of Roundabouts</t>
  </si>
  <si>
    <t>Identification of Proposed Sites for Headbridges and Documentation</t>
  </si>
  <si>
    <t>Construction of 5 nos. Headbridges</t>
  </si>
  <si>
    <t>Identification of Existing and Proposed Sites for Bus Stops and Keke Park and their Documentation</t>
  </si>
  <si>
    <t>Revocation of Title, Approval and Settlement of Compensation</t>
  </si>
  <si>
    <t>Development of Bus Stop and Keke Park</t>
  </si>
  <si>
    <t>Implementation of Flood Research Findings</t>
  </si>
  <si>
    <t>Procurement of Special Operational Vehicles (66 Patrol Vehicles, 150 Motorbikes, 13 Ambulances and 14 Towing Trucks)</t>
  </si>
  <si>
    <t>Procurement of Heavy/Outdoor Operational Equipments</t>
  </si>
  <si>
    <t>Purchase of Handheld Operational Equipments</t>
  </si>
  <si>
    <t xml:space="preserve">Provision for  Technology Requirement </t>
  </si>
  <si>
    <t xml:space="preserve">Monitoring of Statute Books </t>
  </si>
  <si>
    <t>Procurement  of Students Tables  and Chairs</t>
  </si>
  <si>
    <t>Extension of Wall  Fence</t>
  </si>
  <si>
    <t>Procurement of Materials for Public Administration Department</t>
  </si>
  <si>
    <t>Renovation of Offices and Lecture Halls</t>
  </si>
  <si>
    <t>Construction/Renovations and Furnishing of Emir  of Zazzau's Palace at Tukur Tukur Zaria .</t>
  </si>
  <si>
    <t>Construction of  4 Bedroom Flat at Chief of Kumana Palace, Geshere</t>
  </si>
  <si>
    <t>Construction of Chief of Piriga Palace at Piriga.</t>
  </si>
  <si>
    <t>Completion of Guest Chalet of Ere Koro Palace at Kubacha</t>
  </si>
  <si>
    <t>Upgrading of Chief of Numana Palace at Gwantu.</t>
  </si>
  <si>
    <t>Construction /Furnishing of Sarki Saminaka Council Chamber and Office at Saminaka.</t>
  </si>
  <si>
    <t xml:space="preserve">Beaconing of disputed land between Antong (Kurmin Musa) and Ngarti Gidan Mana District, Kachia LGA </t>
  </si>
  <si>
    <t xml:space="preserve">Reclamation / Demarcation of Cormunal Forest Reserve across the State </t>
  </si>
  <si>
    <t>Construction and Rehabilitaton of Palaces</t>
  </si>
  <si>
    <t>Beaconing of Disputed Boundries</t>
  </si>
  <si>
    <t>Procurement of Vehicles and Office Equipment for MDAs</t>
  </si>
  <si>
    <t>Automation of Tax Administration and Procedures</t>
  </si>
  <si>
    <t>Procurement of  IT Infrastructure</t>
  </si>
  <si>
    <t xml:space="preserve">Renovation of  Existing  Office Buildings </t>
  </si>
  <si>
    <t>Payment of Counterpart Funds for TIN Project</t>
  </si>
  <si>
    <t>Renovation of Commission's Administrative  Block</t>
  </si>
  <si>
    <t>Procurement of 500KVA Generating Plant</t>
  </si>
  <si>
    <t>Furnishing Commission Members' Offices</t>
  </si>
  <si>
    <t xml:space="preserve">Purchase of Generating Set </t>
  </si>
  <si>
    <t>Acquisition of  Softwares</t>
  </si>
  <si>
    <t>Purchase of HP design jet 1790 plotter 1No.</t>
  </si>
  <si>
    <t>Refurbishment and Maintenance of State Government properties</t>
  </si>
  <si>
    <t>Remodelling of State owned Parks and Gardens</t>
  </si>
  <si>
    <t>Acquisition of Topographic Maps of all State Govt landed Properties</t>
  </si>
  <si>
    <t>Acquisition of I.T Equipments for MDAs</t>
  </si>
  <si>
    <t>Software Upgrade and licencing</t>
  </si>
  <si>
    <t>Purchase of Tools and Equipments</t>
  </si>
  <si>
    <t>Purhase of Furniture for DG and 3 Executive Director's houses</t>
  </si>
  <si>
    <t>Kaduna State Public Service Revitalization &amp; Renewal Project</t>
  </si>
  <si>
    <t>Knowledge Based Enhancement Programme</t>
  </si>
  <si>
    <t>Conduct of Sector Retreats</t>
  </si>
  <si>
    <t>Conduct Impact Evaluation Study</t>
  </si>
  <si>
    <t>Set up of Mediation Centers in all AG's Chambers</t>
  </si>
  <si>
    <t>Establishment of Commercial Law Department in Min. of Justice</t>
  </si>
  <si>
    <t>State Briefs Assigned to Private Prosecutors</t>
  </si>
  <si>
    <t>Case Management Installation Programme</t>
  </si>
  <si>
    <t>E-Data Storage System</t>
  </si>
  <si>
    <t>Monthly Media Enlightment and Sensitation on the Activities of the Ministry</t>
  </si>
  <si>
    <t>Developing of a Non-Custodial Sentencing Programme</t>
  </si>
  <si>
    <t>Publication of all Laws of Kaduna State Online</t>
  </si>
  <si>
    <t>Renovation and Restructuring of the Registry</t>
  </si>
  <si>
    <t>Computerization of Court Proceedings</t>
  </si>
  <si>
    <t>Contribution for Tarring of High Court Complex Road</t>
  </si>
  <si>
    <t xml:space="preserve">Procurement of Toyota Hilux and Corolla </t>
  </si>
  <si>
    <t>Purchase of Generator for CCA Kafanchan Complex</t>
  </si>
  <si>
    <t>Procurement of Court Recording Machines</t>
  </si>
  <si>
    <t>Construction and Fencing of Customary Court of Appeal Complex Kafanchan (On-going)</t>
  </si>
  <si>
    <t>Construction and Fencing of Customary Courts at Ikara,Isah ,Dan Alhaji and Giwa</t>
  </si>
  <si>
    <t>Renovation and Fencing of Existing Customary Courts</t>
  </si>
  <si>
    <t>Purchase of Generators for Hon PCCA,Hon Judges and Chief Registrar</t>
  </si>
  <si>
    <t>Rehabilitation of Offices at the Law Reforms Building</t>
  </si>
  <si>
    <t>Procurement of HP Computers</t>
  </si>
  <si>
    <t>Construction of Sharia Courts at Pambegua,Usc Jere,Sabon Birni and Inspectorate Division HQ</t>
  </si>
  <si>
    <t>Rehabilitation/Repairs of Court Building</t>
  </si>
  <si>
    <t>Purchase of Fire Proof Cabinet</t>
  </si>
  <si>
    <t>Purchase of Library Books and Equipments</t>
  </si>
  <si>
    <t>Rehabilitation /Repairs of Office Building</t>
  </si>
  <si>
    <t>Design of Judicial Service Complex</t>
  </si>
  <si>
    <t>Landscaping and Construction of Drainages and Culverts.</t>
  </si>
  <si>
    <t>Purchase of Assembly Library Books and Equipments</t>
  </si>
  <si>
    <t>Purchase of Communication Equipments</t>
  </si>
  <si>
    <t>Rehabilitation of Offices and Purchase of Furniture</t>
  </si>
  <si>
    <t>Construction of Blocks of Gender Sensitive  Sanitation Facilities in Institutions/Public Place (State/UNICEF)</t>
  </si>
  <si>
    <t>Malaria Control Programme (Global Fund)</t>
  </si>
  <si>
    <t>Federal Government Counterpart for Intervention to Improve Nutrition in Primary Schools, IQTE Boarding Schools and 31 Boarding Secondary Schools</t>
  </si>
  <si>
    <t>Identification and Assessment of Ecological Problems (FGN Ecological Fund)</t>
  </si>
  <si>
    <t>MALARIA CONTROL PROGRAMME (GLOBAL FUND)</t>
  </si>
  <si>
    <t>Remediation of Ecological Problems Site (Ecological Project)</t>
  </si>
  <si>
    <t xml:space="preserve"> Rice Anchor Borrowers Programme (CBN Loan)</t>
  </si>
  <si>
    <t>Agricultural Loan Scheme ( Bank of Agriculture)</t>
  </si>
  <si>
    <t>Tuberculosis &amp; Leprosy Control  (Netherlands Leprosy Control)</t>
  </si>
  <si>
    <t xml:space="preserve"> Agricultural Loan Scheme ( Bank of Agriculture)</t>
  </si>
  <si>
    <t>Publicity &amp; Advertisement</t>
  </si>
  <si>
    <t>Tss Allowance</t>
  </si>
  <si>
    <t>5% Teaching Allowance</t>
  </si>
  <si>
    <t>AGRICULTURAL LOAN SCHEME</t>
  </si>
  <si>
    <t>FOREST MANAGEMENT PROJECT</t>
  </si>
  <si>
    <t>Completion of Kudendan 215 MW - LPFO/Gas</t>
  </si>
  <si>
    <t>INDIA EXIM LOAN</t>
  </si>
  <si>
    <t>Provision for Infrastructure</t>
  </si>
  <si>
    <t>Procurement of HP Laptop and Accessories at KADSQAB</t>
  </si>
  <si>
    <t>Procurement of HP Printers at KADSQAB</t>
  </si>
  <si>
    <t>UBEC PROJECTS - FEDERAL FUNDS</t>
  </si>
  <si>
    <t>Tuberculosis (TBL) / LEPROSY Control</t>
  </si>
  <si>
    <t>SHEHU IDRIS COLLEGE OF HEALTH SCIENCES AND TECHNOLOGY, MAKARFI</t>
  </si>
  <si>
    <t>Purchase and installation of  2Hp Samsung Air Conditioners at the e-library Complex at Makarfi Main Campus</t>
  </si>
  <si>
    <t>Purchase and installation of 2Hp Samsung Air Conditioners for the  College Library at Makarfi Main Campus</t>
  </si>
  <si>
    <t>Identification and Assessment of Ecological Problems Areas in the State</t>
  </si>
  <si>
    <t>IDENTIFICATION AND ASSESSMENT OF ECOLOGICAL PROBLEMS AREAS IN THE STATE</t>
  </si>
  <si>
    <t>PAYMENT OF LIABILITY</t>
  </si>
  <si>
    <t>STATE FUNDS</t>
  </si>
  <si>
    <t>DRAFT ESTIMATES 2017</t>
  </si>
  <si>
    <t xml:space="preserve">Continuous support to Agricultural Research Institutes </t>
  </si>
  <si>
    <t>Provision of Infrastructure</t>
  </si>
  <si>
    <t>Modify existing structures at KASU</t>
  </si>
  <si>
    <t>Construct Phase II of the Faculty of Sciences</t>
  </si>
  <si>
    <t>Construction of Standard Accident and Emergency unit in 5 major Hospitals Across the State (Yusuf Dantsoho Memorial GH T/Wada, GH Kaf, Gwamna Awan GH Kakuri, Jibril Maigwari GH B/Gwari)</t>
  </si>
  <si>
    <t xml:space="preserve">Construction of Laboratory and Demonstration Room </t>
  </si>
  <si>
    <t>Construction of 450 Seater Capacity Lecture Theatre Phase 1 and 2.</t>
  </si>
  <si>
    <t>Construction of Male Hostel.</t>
  </si>
  <si>
    <t>Construction of ICT Centre</t>
  </si>
  <si>
    <t>Construction of  Incinerator</t>
  </si>
  <si>
    <t xml:space="preserve">Renovation of Hostel 2 </t>
  </si>
  <si>
    <t>Procurement of Medical Science Equipment for Medical Lab Tech. CON Kafanchan</t>
  </si>
  <si>
    <t>Procurement of 3 No Mechanical, Electrical and Building Tool Boxes CON Kafanchan</t>
  </si>
  <si>
    <t xml:space="preserve">Proposed Renovation of Existing Male Hostel. </t>
  </si>
  <si>
    <t>Procurement of Analytical Balance (Adam±0.0001m)</t>
  </si>
  <si>
    <t>Rehabilitate 12 No.  Urban Water Treatment Plants to restore them to combined optimal production capacity of 380MLD from the current 217MLD.</t>
  </si>
  <si>
    <t>Rehabilitation and Conversion of 28 Semi-Urban Scheme  Powered by Solar Energy</t>
  </si>
  <si>
    <t xml:space="preserve">Consultancy services for detailed engineering design for 2 No. water supply </t>
  </si>
  <si>
    <t>Procurement of 1 No Additional State of the Art Drilling Rig and Accompanying Equipments</t>
  </si>
  <si>
    <t>Supply and Installation of 50,000 meters ADB</t>
  </si>
  <si>
    <t>Conduct Knowledge Attitudes and Practices Study/Hygiene Promotion Strategy</t>
  </si>
  <si>
    <t>Preparation of Development Plan for the Eastern Sector</t>
  </si>
  <si>
    <t> Fencing of Government land</t>
  </si>
  <si>
    <t>Procurement of 2 OB Vans for Radio and Television</t>
  </si>
  <si>
    <t>Construction of new TV Complex</t>
  </si>
  <si>
    <t>Purchase of 10 Camcoders</t>
  </si>
  <si>
    <t>Purchase of 10 Boom and Tie Microphones</t>
  </si>
  <si>
    <t>Purchase of 10 Gun Microphones</t>
  </si>
  <si>
    <t>Purchase of 3 Reel to Reel Machines</t>
  </si>
  <si>
    <t>Purchase of CD Plates</t>
  </si>
  <si>
    <t>Conduct Policy Seminars</t>
  </si>
  <si>
    <t>Conduct Policy Research Paper and Reviews</t>
  </si>
  <si>
    <t>Establishment of 5 additional Rent Tribunal Courts</t>
  </si>
  <si>
    <t>Building of 1  Ware house for the Rent Tribunal</t>
  </si>
  <si>
    <t>Establishment of a specialized Commercial Law Department in the Ministry of Justice</t>
  </si>
  <si>
    <t>Set up of 15 Billboards spread across the 3 Senatorial zones of the state on services rendered by the Ministry of Justice</t>
  </si>
  <si>
    <t>POWER INTERVENTION FUND</t>
  </si>
  <si>
    <t>PSRGP</t>
  </si>
  <si>
    <t>Counterpart Funding (YESSO, UNICEF, UNFPA, Nutrition, PSR)</t>
  </si>
  <si>
    <t>TOTAL CAPITAL BUDGET</t>
  </si>
  <si>
    <t xml:space="preserve"> DRAFT ESTIMATES 2017</t>
  </si>
  <si>
    <t>Application  for Land   Processing Fees</t>
  </si>
  <si>
    <t>Regrant of Title Fees</t>
  </si>
  <si>
    <t>Identity Cards/Badge Fees</t>
  </si>
  <si>
    <t>LABORATORY FEES</t>
  </si>
  <si>
    <t>BUREAU OF INTERFAITH MATTERS</t>
  </si>
  <si>
    <t>BUREAU OF INTERFAITH MATTERS- TOTAL</t>
  </si>
  <si>
    <t>KADUNA STATE FACILITY MANAGEMENT AGENCY- TOTAL</t>
  </si>
  <si>
    <t>KADUNA STATE FACILITIY MANAGEMENT AGENCY</t>
  </si>
  <si>
    <t>Kaduna Metropolitan Rapid Rail Transport (ECA Loan)</t>
  </si>
  <si>
    <t>KADUNA STATE GEOGRAPHIC INFORMATION SERVICE</t>
  </si>
  <si>
    <t>ConstructIon and Equipping of Youth Skills Acquisition Center in Zone 2</t>
  </si>
  <si>
    <t>Construction and Equipping of Youth Skills Acquisition Center in Zone 3</t>
  </si>
  <si>
    <t>Construction and Equipping of Youth Friendly Center in Zone 2</t>
  </si>
  <si>
    <t>Construction and Equipping of Youth Friendly Center in Zone 3</t>
  </si>
  <si>
    <t>Renovation  and Re-Equipping of Zaria Childrens Home</t>
  </si>
  <si>
    <t>Renovation and Equipping of  Kafanchan and Magajin Gari  Childrens Home</t>
  </si>
  <si>
    <t xml:space="preserve">Construction and Equipping of Kitchen Suite for Children in Magajin Gari </t>
  </si>
  <si>
    <t>Construction of 1 Weather Station</t>
  </si>
  <si>
    <t>Construction of Geological Museum and Laboratory</t>
  </si>
  <si>
    <t xml:space="preserve">MINISTRY FOR LOCAL GOVERNMENT  </t>
  </si>
  <si>
    <t>Construction of Block Wall Fence at Uchu Ninzo Palace at Fadan Ninzo</t>
  </si>
  <si>
    <t>MINISTRY FOR LOCAL GOVERNMENT  - TOTAL</t>
  </si>
  <si>
    <t>Conduct of Public Service Opinion Surveys</t>
  </si>
  <si>
    <t>Small Credit Support</t>
  </si>
  <si>
    <t>KADAT</t>
  </si>
  <si>
    <t>Mortgage Matching Funds</t>
  </si>
  <si>
    <t>Creative Arts</t>
  </si>
  <si>
    <t>Design and Costruction of 3 Nos. Rehabilitaion Centres</t>
  </si>
  <si>
    <t>Establishment of 3no. Additional Sexual Assault Centres</t>
  </si>
  <si>
    <t>INDUSTRIAL AND MICRO- CREDIT BOARD</t>
  </si>
  <si>
    <t>Industrial and Micro- Credit Board Total</t>
  </si>
  <si>
    <t>Industrial and Micro- Credit Board</t>
  </si>
  <si>
    <t>Hosting of Conferences, Centenary , Conventions and National Council Meetings</t>
  </si>
  <si>
    <t>Take -off Grant for New Public Agencies</t>
  </si>
  <si>
    <t xml:space="preserve">Annual Budget Expenses </t>
  </si>
  <si>
    <t>RICE ANCHOR BORROWER PROGRAMME</t>
  </si>
  <si>
    <t>Green Economic Zone Projects</t>
  </si>
  <si>
    <t>Provision of Rural Infrastructure ( Minning Zones Intervention)</t>
  </si>
  <si>
    <t>Completion of Kudenda Power Project</t>
  </si>
  <si>
    <t>Construction and Renovation of Libraries in LGAs</t>
  </si>
  <si>
    <t>Desing and Construction of Kaduna State Sports Academy in Kagarko LGA</t>
  </si>
  <si>
    <t xml:space="preserve">DEPARTMENT OF PUBLIC AFFAIRS </t>
  </si>
  <si>
    <t>KADUNA  STATE PUBLIC PROCUREMENT  AUTHORITY</t>
  </si>
  <si>
    <t>Poverty Mapping Exercise</t>
  </si>
  <si>
    <t>Saving one Million Lives Initiative</t>
  </si>
  <si>
    <t>Revenue From National Health Act</t>
  </si>
  <si>
    <t>Concessional Multilateral Loans and Credit</t>
  </si>
  <si>
    <t>60 % LGAs  Recurrent Contribution for PHCDA</t>
  </si>
  <si>
    <t>Primary and Secondary Schools Rebuilding Programme</t>
  </si>
  <si>
    <t>Procure Agricultural Processing Machine</t>
  </si>
  <si>
    <t>Establishment of Cooperative Financing Agency</t>
  </si>
  <si>
    <t>Procurement of Chemicals &amp; Equipment for Prevention of Disease Outbreak</t>
  </si>
  <si>
    <t>Primary and Secondary Schools Rebuilding and Equipping Programme</t>
  </si>
  <si>
    <t>Provisional Sum for Recruitment under the Public Sector Reform, Revitalization and Renewal Project</t>
  </si>
  <si>
    <t>Federal Government Budget Support Facility</t>
  </si>
  <si>
    <t xml:space="preserve">Training and Sensitization on ADR in 23 LGAs </t>
  </si>
  <si>
    <t xml:space="preserve">Training on New Criminal Police, Judiciary and Prison Staff </t>
  </si>
  <si>
    <t>Puchases of Law Books and Installation of Software</t>
  </si>
  <si>
    <t xml:space="preserve"> Draft Estimates 2017</t>
  </si>
  <si>
    <t>Database Design and Modelling</t>
  </si>
  <si>
    <t>Purchase of Despatch Motocycle</t>
  </si>
  <si>
    <t>Conduct of State Agricultural Survey</t>
  </si>
  <si>
    <t>Conduct of General Household Survey</t>
  </si>
  <si>
    <t>Conduct of Demographic Health Survey</t>
  </si>
  <si>
    <t>Conduct of Annual School Census</t>
  </si>
  <si>
    <t>Conduct of Population and Dynamics Survey</t>
  </si>
  <si>
    <t>Develop Management Information System</t>
  </si>
  <si>
    <t>Strenghtening  KDBS Socio- Economic Data Base</t>
  </si>
  <si>
    <t>Establish Tourism Data Base</t>
  </si>
  <si>
    <t>Develop Annual GDP Compilation Methodologies and Estimates</t>
  </si>
  <si>
    <t>Kaduna Data Project</t>
  </si>
  <si>
    <t>Intergrate Routine Data From  MDA's And LGA's in GIS</t>
  </si>
  <si>
    <t>Payment of Compensation on Government Acquired land</t>
  </si>
  <si>
    <t>Preparation of Development for the Eastern Sector</t>
  </si>
  <si>
    <t>Preparation of 12 New Layouts Across the State</t>
  </si>
  <si>
    <t>Preparation of Western Sector Layout Plan in Kaduna Metroplis</t>
  </si>
  <si>
    <t>Review of Zaria and preparation of Kafanchan and 44 other Master Plan and Mapping.(contd)</t>
  </si>
  <si>
    <t>Installation of KADGIS Software</t>
  </si>
  <si>
    <t>Procurement of Demolition Control Equipments (Bulldozer, Pay-Loader, Excavator ,Low-Bed Trailer)</t>
  </si>
  <si>
    <t>Counselling and Testing of 500,000 Persons</t>
  </si>
  <si>
    <t xml:space="preserve">HIV Care and Support  Activities </t>
  </si>
  <si>
    <t>Scale up  of Adolescent and Youth Population Intervention in 21 LGAs</t>
  </si>
  <si>
    <t xml:space="preserve">Scale up eMTCT Services to 30 Additional Facilities </t>
  </si>
  <si>
    <t>Conduct Training of Pool of 786 Counsellor Testers in 23 LGAs to Improve HCT uptake</t>
  </si>
  <si>
    <t>Procure Drugs Under Sustainable Drugs Supplies System (SDSS) Framework</t>
  </si>
  <si>
    <t>Procure Therapeutic Food and Drugs  for  Management of Acute Malnutrition</t>
  </si>
  <si>
    <t>Provision of Additional Computers and Accessories/Peripherals for 4 More Access Points</t>
  </si>
  <si>
    <t>Drugs Procurement for all MDAs</t>
  </si>
  <si>
    <t xml:space="preserve">State Counterpart Fund on Routine Immunisation RI and System Strengthening (2018 Tripatite MOU provision) </t>
  </si>
  <si>
    <t>Furnish Offices and Provide Internet Facilities at 23 LGAs PHC Departments.</t>
  </si>
  <si>
    <t>Fencing, Furnishing and Equipping of 813 No. Health Clinics and Health Posts Across the State</t>
  </si>
  <si>
    <t>Construction of  1No. Dry Store at SPHCDA Headquarters</t>
  </si>
  <si>
    <t>255 PHC PROJECT (Renovate and Upgrading of 255 HFs to PHC)</t>
  </si>
  <si>
    <t>Procurement and Distribution of  280 Computers and Accessories (255 for  PHCs, 25 for SPHCDA staff)</t>
  </si>
  <si>
    <t>Furnishing of 3 Zonal Cold Stores at Zaria, Kaduna and Kafanchan</t>
  </si>
  <si>
    <t>Ensure Effective Coordination, and Adherence to Statutory Functions. (Power Generator and Chairs for Conference and other offices)</t>
  </si>
  <si>
    <t>Improve Infrastructure at Cold Store and HF levels to Improve Service Delivery</t>
  </si>
  <si>
    <t>Procure 10 No Laptops for Programme Officers to Effectively Deliver Primary Health Care Services</t>
  </si>
  <si>
    <t>Infectious Diseases Control programme</t>
  </si>
  <si>
    <t>Improve Infrastructure at Cold Store and HF Levels to Improve Service Delivery</t>
  </si>
  <si>
    <t>Procure Drugs for Emergency Response to Disease Outbreak</t>
  </si>
  <si>
    <t>Procurement of  Therapeutic Food and Drugs  for  Management of Acute Malnutrition</t>
  </si>
  <si>
    <t>Procurement of Anthropometric Equipment( Weighing scales, MUAC Tapes)</t>
  </si>
  <si>
    <t>Procurement of Micronutrients( Micronutrient Powder, Zinc and Lo-ORS</t>
  </si>
  <si>
    <t xml:space="preserve">Procurement of Family Planning Commodities </t>
  </si>
  <si>
    <t>Procurement and Distribution of LLINs</t>
  </si>
  <si>
    <t>Renovation, Furnishing Offices and Provision Internet Facilities at 23 LGAs PHC Departments</t>
  </si>
  <si>
    <t>Renovation, Furniture, Equipping and Fencing of 813 No. of Health Clinics and Health Posts Across the State</t>
  </si>
  <si>
    <t>Renovation of Burnt Down Office at SPHCDA Headquarters</t>
  </si>
  <si>
    <t>Re-accreditation Fees for Basic Midwifery</t>
  </si>
  <si>
    <t xml:space="preserve">
Construction of 6No. Staff Toilets @ College of Midwifery T/Wada
</t>
  </si>
  <si>
    <t>Construction of Library Complex With E-Library Facility @ College of Midwifery T/Wada</t>
  </si>
  <si>
    <t>Procurement of Needed Laboratory Equipments and Reagents</t>
  </si>
  <si>
    <t xml:space="preserve">General Renovation and Remodeling of the Existing Admin Block, Classes and Laboratory @ College of Midwifery T/Wada </t>
  </si>
  <si>
    <t>Procurement of 4No. Sony Multimedia Projectors and White Boards Each  Installation and Staff Training @ College of Midwifery T/Wada</t>
  </si>
  <si>
    <t>Procurement of 4No Official Vehicles  for College of Midwifery T/Wada</t>
  </si>
  <si>
    <t>Procurement of 300 No. Students Standard Tables and Chairs for Lecture Halls @ College of Midwifery T/Wada</t>
  </si>
  <si>
    <t>Procurement of Office Furniture and Equipment for 15 Offices @ College of Midwifery T/Wada</t>
  </si>
  <si>
    <t xml:space="preserve"> Procurement of 150 No. Convocation Gowns and College Mace @ College of Midwifery T/Wada</t>
  </si>
  <si>
    <t xml:space="preserve"> Procurement of Furniture and Equipment for Library Domplex @ College of Midwifery T/Wada</t>
  </si>
  <si>
    <t>Procurement of 50 No. Lap-Top Computers for Academic Staff</t>
  </si>
  <si>
    <t>Procurement of 50 No Desktops and Printers for Computer Laboratory</t>
  </si>
  <si>
    <r>
      <t>Proposed Renovation and Complete Construction of 1</t>
    </r>
    <r>
      <rPr>
        <vertAlign val="superscript"/>
        <sz val="10"/>
        <color rgb="FF000000"/>
        <rFont val="Calibri"/>
        <family val="2"/>
        <scheme val="minor"/>
      </rPr>
      <t>st</t>
    </r>
    <r>
      <rPr>
        <sz val="10"/>
        <color rgb="FF000000"/>
        <rFont val="Calibri"/>
        <family val="2"/>
        <scheme val="minor"/>
      </rPr>
      <t xml:space="preserve"> Floor Sarah Hassan Hostel</t>
    </r>
  </si>
  <si>
    <t>Proposed Construction of New Hostel Block</t>
  </si>
  <si>
    <t>Proposed Construction of College Guest House</t>
  </si>
  <si>
    <t>Proposed Procurement of Land for Expansion</t>
  </si>
  <si>
    <t>Pre – Accreditation Fee for Medical Laboratory Science</t>
  </si>
  <si>
    <t xml:space="preserve">Construction and Furnishing of 300  Seater Capacity Lecture Theatre </t>
  </si>
  <si>
    <t>Renovation of Burnt Female Hostel at Makarfi Main Campus</t>
  </si>
  <si>
    <t>Construction of 70 Students  Seater Capacity Technical Drawing Room at Makarfi Main Campus</t>
  </si>
  <si>
    <t xml:space="preserve">Contruction of Perimeter Wall (1000m) South West Direction of the College at Makarfi Main Campus </t>
  </si>
  <si>
    <t>Establishment of Kaduna State Emergency Medical Services to Increase Access to Health Care</t>
  </si>
  <si>
    <t>Landscaping and Beautification of Major Hospitals Across the State</t>
  </si>
  <si>
    <t>Outdoor Furmigation in Selected LGAs of Kaduna, Kafanchan and Zaria</t>
  </si>
  <si>
    <t>Construction of 300-Bed Specialist Hospital</t>
  </si>
  <si>
    <t>Renovation of Students' Hostel at School of Midwifery Tudun Wada.</t>
  </si>
  <si>
    <t> Establishment of the Kaduna State Contributory Health Management Agency.</t>
  </si>
  <si>
    <t>Provision of Safe Surgical Care and Anesthesia</t>
  </si>
  <si>
    <t>Establishment of  State Blood Safety Program and me in 30 Healthcare Facilities</t>
  </si>
  <si>
    <t>Procurement of Anthropometric Equipment( Weighing Scales, MUAC tapes, Weight/Length Metres)</t>
  </si>
  <si>
    <t>Construct One Zonal Medical Stores Each  in Kafanchan And Zaria</t>
  </si>
  <si>
    <t>Provision of 250,000kg of Quality Seeds Each of Six Commodities of Comparative Advantage (Anchor Borrowers Scheme- Central Bank of Nigeria)</t>
  </si>
  <si>
    <t>Collaboration With Leventis Foundation (Agric School)</t>
  </si>
  <si>
    <t xml:space="preserve">Continuous Support to Agricultural Research Institutions </t>
  </si>
  <si>
    <t>Domicile GAP/GHP through Parternership/Consultant</t>
  </si>
  <si>
    <t>Renovation of Engineering Outstation/ Procurement of Agricultural Equipment</t>
  </si>
  <si>
    <t>Purchase of 3 No Cold Storage Facility (solar energy)</t>
  </si>
  <si>
    <t>Improvement of Indigenous Breeds Through Cross Breeding</t>
  </si>
  <si>
    <t xml:space="preserve">Provide Financial Support to Commodity Value Chain Development </t>
  </si>
  <si>
    <t>Rehabilitation of State Own Irrigation Scheme Across the State</t>
  </si>
  <si>
    <t>Advocacy and Sensitization to the Public on Tree Planting</t>
  </si>
  <si>
    <t>Rehabilitation of Cooperative Institute Ikara</t>
  </si>
  <si>
    <t>Rehabilitation/Equipment /Maintenance of 75 Warehouses</t>
  </si>
  <si>
    <t>Purchase of 3 No Priquette Machines</t>
  </si>
  <si>
    <t>Advocacy on Alternative to the Use of Firewood</t>
  </si>
  <si>
    <t>Unified Agric Extension</t>
  </si>
  <si>
    <t>Increase Number of Functional Engineering Out Station from 0-7</t>
  </si>
  <si>
    <t>Provision of 7.5 Million Seedlings of Improved Qualities for Planting and Distribution to People</t>
  </si>
  <si>
    <t>Maintanance of Plantation</t>
  </si>
  <si>
    <t xml:space="preserve">Establishment of New Plantation in the State </t>
  </si>
  <si>
    <t>Raising of Seedlings from State Nurseries</t>
  </si>
  <si>
    <t xml:space="preserve">Rehabilitation of 2No Community Irrigation Scheme (Igabi&amp;Ung. Jaba) </t>
  </si>
  <si>
    <t>Conduct of Unified Agric Extension Services</t>
  </si>
  <si>
    <t>Carry Out Fadama III AF Project</t>
  </si>
  <si>
    <t>Provision of Extension Services</t>
  </si>
  <si>
    <t xml:space="preserve"> Rehabilitation, Restructuring and Equipping of BATCs</t>
  </si>
  <si>
    <t>Provision of Alternative Power Supply for BATCs</t>
  </si>
  <si>
    <t>Designing  of Standard Zoo Along Eastern by- pass</t>
  </si>
  <si>
    <t>Establishment of  Comprehensive Data Bank (Hard and Software) of Businesses in the State.</t>
  </si>
  <si>
    <t>Replacement of Tarpaulin at Expo Hall</t>
  </si>
  <si>
    <t>Establishment of Business Support Center</t>
  </si>
  <si>
    <t>Relief of 80Nos of Transformer Sub-Stations Across  23 LGAs</t>
  </si>
  <si>
    <t>Construction / Rehabiltation  of 125.8Km of ITC Lines Across 23 LGAs</t>
  </si>
  <si>
    <t>Construction / Relief of 40No Transformers Across the 23 LGAs</t>
  </si>
  <si>
    <t>General Renovation of Existing 4No Structures and Construction of 19No new Structures in the Social Development Training Centre across the State</t>
  </si>
  <si>
    <t>Kaduna Rural Access and Mobility Project (KADRAMP)</t>
  </si>
  <si>
    <t>Construction of 129.5Km of TDN Lines across the 23 LGAs</t>
  </si>
  <si>
    <t>Construction of 62Nos Sub-Stations Across the 23 LGAs</t>
  </si>
  <si>
    <t>Distribution of 5,100 No. Starter Packs to Trained Skill Acquisition Beneficiaries</t>
  </si>
  <si>
    <t>Procurement of 30 Units of Modular 50KVA Waste-to-Power Generator (1.5MW)</t>
  </si>
  <si>
    <t>Completion of Gurara 30 MW Hydro Power Project</t>
  </si>
  <si>
    <t>Establishment, Creation and Approval of Kaduna Electronics Institute</t>
  </si>
  <si>
    <t>Procurement of Emergency Standby Mobile Power Generator</t>
  </si>
  <si>
    <t>Provision of Power Infrastructure at New layouts</t>
  </si>
  <si>
    <t>Deployment of Mini-Grid Solar Systems</t>
  </si>
  <si>
    <t>Deployment of Standalone Solar Energy Systems; (100,000 Units of Solar Home Systems (SHS)</t>
  </si>
  <si>
    <t>Implementation of Energy Efficiency in Public Buildings</t>
  </si>
  <si>
    <t>Provision of Embedded Power Generation for Industrial, Agricultural &amp; Educational Hub  - 3 x 25MW to be Generated</t>
  </si>
  <si>
    <t>Provision of 3MW Solar power to  Public Facilities  (Courts, Offices &amp; Schools)</t>
  </si>
  <si>
    <t>Development of 100MW Solar Energy Park Plus Green Economic Zone</t>
  </si>
  <si>
    <t xml:space="preserve">State-Wide Deployment of  Independent Electricity Distribution Network (IDN) License </t>
  </si>
  <si>
    <t>Improvement of Power Distribution Infrastructure</t>
  </si>
  <si>
    <t>Provision of Automated Solar Powered Traffic Signal Control in Kaduna , Kafanchan and Zaria</t>
  </si>
  <si>
    <t>Beautification  of Bus Rapid Transit Lanes and Road Pavement from Kawo Flyover to Lugard Hall Round About</t>
  </si>
  <si>
    <t>Construction of Additional Strike Force Base at Rigasa , Igabi LGA</t>
  </si>
  <si>
    <t>Construction  of Additional Strike Force Base at Kakau,   Kaduna</t>
  </si>
  <si>
    <t>Construction  of Additional Strike Force Base at NNPC Junction, Kaduna</t>
  </si>
  <si>
    <t xml:space="preserve">Erosion Control at  Saye Bridge Kofar Gayan Zaria , Kaduna-Zaria Road </t>
  </si>
  <si>
    <t>Construction of Retaining Wall Along Kofar Gayan,  Jos  Road</t>
  </si>
  <si>
    <t>Erosion Control in Kabala West , Kaduna South LGA</t>
  </si>
  <si>
    <t>External Utility Connection at Sir Kashim Ibrahim House, Kaduna</t>
  </si>
  <si>
    <t xml:space="preserve">Proposed Construction of Wall Fence and Furnishing of  Zaria Fire Service Station </t>
  </si>
  <si>
    <t>Rehabilitation of Mechanical Engineering Workshop for Skill Acquisition</t>
  </si>
  <si>
    <t xml:space="preserve">Waza-Asso-Tanda -Gegira(Washout) Phase II </t>
  </si>
  <si>
    <t>Support for Street Naming and House Numbering</t>
  </si>
  <si>
    <t>Conduct of Streetlights Maintenance Across the State</t>
  </si>
  <si>
    <t>Conduct Road Maintenance Across the State</t>
  </si>
  <si>
    <t>Upgrade of 23 Secondary Schools With Emphasis on Science and Technical Workshop in each LGA</t>
  </si>
  <si>
    <t>Intervention to Disasters in 60 Secondary Schools Across the state (Storm Damage, Fire Outbreak)</t>
  </si>
  <si>
    <t>Re-award Contract for Construction of 6 Science Secondary Schools (IsDB)</t>
  </si>
  <si>
    <t>Supply of 30,000 Units of Furniture for Students and Teachers in Secondary Schools Across the State</t>
  </si>
  <si>
    <t>Provide School Uniforms for JSS1 Students Across the State</t>
  </si>
  <si>
    <t>Intervention to Improve Nutrition for Primary Pupils, IQTE Boarding School Pupils and 31 Boarding Secondary Schools</t>
  </si>
  <si>
    <t>Quarterly Supervision of Projects</t>
  </si>
  <si>
    <t>Purchase School Tablets for New Senior Secondary School Students</t>
  </si>
  <si>
    <t>Procure Textbooks/Science and Technology Equipments for  Secondary Schools Across the State</t>
  </si>
  <si>
    <t>Up-grade the Bio-ethanol Plant at Research Section of Renewable Energy Unit to a Full-fledged Production Plant</t>
  </si>
  <si>
    <t>Supply/Installation of LPG Tanks, Turners, Refill and Industrial Boiling Pans in 29 Boarding Secondary Schools</t>
  </si>
  <si>
    <t>Procure Standard  Analytical Laboratory at Research Complex to Purify, Analyze and Enhance the Nutritional Value of Products.</t>
  </si>
  <si>
    <t>Construct a Befitting Multipurpose Workshop at Former MoEST Headquarters</t>
  </si>
  <si>
    <t>Develop Computer Base Test (CBT) Centre; 1 Centres in Each Senatorial District</t>
  </si>
  <si>
    <t>Construction of Computer Laboratories and Supply 20 Desktops Each in 50 Secondary Schools Across the State</t>
  </si>
  <si>
    <t>Ongoing and Liabilities Projects (Emergency Programme &amp; Inherited Projects)</t>
  </si>
  <si>
    <t>Construction &amp; Furnishing of 6no. Lecture Halls for PG School</t>
  </si>
  <si>
    <t>Construction &amp; Equipping of Sporting Facilities (Kaduna Campus)</t>
  </si>
  <si>
    <t>Construction of Female Hostel (Kaduna Campus)</t>
  </si>
  <si>
    <t>Construction of Female Hostel (Kafanchan Campus)</t>
  </si>
  <si>
    <t>Construction of Male Hostel (Kaduna Campus)</t>
  </si>
  <si>
    <t>Construction of Post Graduate Lecture Hall (Kaduna Campus)</t>
  </si>
  <si>
    <t>Construction of Staff Offices (Kaduna Campus)</t>
  </si>
  <si>
    <t>Rehabilitation of Existing Power Network (Kaduna Campus)</t>
  </si>
  <si>
    <t>Reticulation of Water to Residential Quartres  (Kafanchan Campus)</t>
  </si>
  <si>
    <t>Payment of Consultancy Fee on NEEDS Projects</t>
  </si>
  <si>
    <t>Construciton of Kitchen and Laundry at Barau Dikko Teaching Hospital, Kaduna</t>
  </si>
  <si>
    <t>Construction &amp; Furnishing  of Auto-Card/Manual Drafting Studio Complex</t>
  </si>
  <si>
    <t>Construction and Furnishing of Faculty of Education (Kaduna Campus)</t>
  </si>
  <si>
    <t>Construction of 300 Seat Capacity Leacture Hall at Kafanchan Campus</t>
  </si>
  <si>
    <t>Construction of Classroom/Office Complex (Kafanchan Campus)</t>
  </si>
  <si>
    <t>Construction of Clinic (Sick Bay) (Kafanchan Campus)</t>
  </si>
  <si>
    <t>Construction of Radiology Unit at Barau Dikko Teaching Hospital at Kaduna</t>
  </si>
  <si>
    <t xml:space="preserve">Construction of Student's IT Park at CBS Campus </t>
  </si>
  <si>
    <t>Furnishing of Clinical Laboratories &amp; Procurement of Teaching Aids</t>
  </si>
  <si>
    <t>Furnishing of Laboratories &amp; Offices At Fac. of Pharm, Sci. Complex</t>
  </si>
  <si>
    <t>Procurent of Equipments for Auto-Card/Manual Drafting Studio Complex</t>
  </si>
  <si>
    <t xml:space="preserve">Procurement &amp; Installation of Printing Equipment for Mass Communication Department </t>
  </si>
  <si>
    <t>Supply &amp; installation of ICT Equipment &amp; Alternative Power Supply to 1000 Capacity Auditorium</t>
  </si>
  <si>
    <t>Installation of Campus-wide Surveillance System and Instructional Facilities</t>
  </si>
  <si>
    <t>Installation, Networking and Configuration of Dedicated LAN Fibre Optic Internet Backbone for Phases 2-4</t>
  </si>
  <si>
    <t>Construction and Equipping of 3nr Workshops at Kafanchan Campus</t>
  </si>
  <si>
    <t>Construction of Multipurpose Tech. Laboratory Complex, Kafanchan</t>
  </si>
  <si>
    <t>Construction of Vice-Chancellor's Lodge (Kaduna Campus)</t>
  </si>
  <si>
    <t>Construction of New Accident &amp; Emergency Unit at Barau Dikko Teaching Hospital at Kaduna</t>
  </si>
  <si>
    <t>Completion of Fencing Work at Kafanchan Campus</t>
  </si>
  <si>
    <t>Construction and Furnishing of Faculty of Law at Kafanchan Campus</t>
  </si>
  <si>
    <t>Supply &amp; Installtion of Automatic Dry Sprinkler Aerosal Fire Suppression and Extinguishing System Fire Device at Kaduna and Kafanchan Campus</t>
  </si>
  <si>
    <t xml:space="preserve">Construction of Roads and Landscapping at Kaduna and Kafanchan </t>
  </si>
  <si>
    <t>Construction and Furnishing of Faculty of Education  (Kaduna Campus)</t>
  </si>
  <si>
    <t>Consultancy Services on Construction of Physics Laboratory</t>
  </si>
  <si>
    <t>Rehabilitation of Clinic for Clinical Practical at Gwagwada and Ungwan Rimi</t>
  </si>
  <si>
    <t>Construct Phase II of the Faculty of Arts</t>
  </si>
  <si>
    <t>Construct a Befitting Faculty of Medicine</t>
  </si>
  <si>
    <t>Provide Adequate Modern Computing Facilities to all Academic and Administrative Units of the University</t>
  </si>
  <si>
    <t>Provide Science-Related Facilities in the Faculty of Engineering</t>
  </si>
  <si>
    <t>Construct three (3) Multipurpose Lecture Theatres at Faculties of Arts, Sciences &amp; Social and Management Sciences</t>
  </si>
  <si>
    <t>Provide Science-Related Facilities in the Faculty of Pharmaceutical Sciences (Phase II)</t>
  </si>
  <si>
    <t>Provide Science-Related Facilities in the Faculty of Education</t>
  </si>
  <si>
    <t>Construction of Administrative Block</t>
  </si>
  <si>
    <t>Construction of Fine and Applied Arts Complex</t>
  </si>
  <si>
    <t>Construction of Technical Education Complex</t>
  </si>
  <si>
    <t>Construction of Clinic</t>
  </si>
  <si>
    <t>Construction of Road Network</t>
  </si>
  <si>
    <t>Rehabilitation of Science Laboratories</t>
  </si>
  <si>
    <t>Rehabiliotation of Classrooms/ Lecture Halls</t>
  </si>
  <si>
    <t>Rehabilitation of Temporary Administrative Block</t>
  </si>
  <si>
    <t>Rehabilitation of 4 No. Student's Hostel</t>
  </si>
  <si>
    <t xml:space="preserve">Rehabilitation of College Main Library </t>
  </si>
  <si>
    <t>Proposed Tertiary Education Trust Fund (TETFUND) COE 2015 - Normal Intervention</t>
  </si>
  <si>
    <t>Construction of Perimeter Fence and College Main Entrance Gate</t>
  </si>
  <si>
    <t>Purchase of Classroom Furniture</t>
  </si>
  <si>
    <t xml:space="preserve">Construct 8 Classrooms </t>
  </si>
  <si>
    <t>Purchase of New Library Books</t>
  </si>
  <si>
    <t>Landscaping of E-Library Compound</t>
  </si>
  <si>
    <t>Purchase and Distribute 3,247 Teaching Aids Materials to Learning Centres Across the State</t>
  </si>
  <si>
    <t>Purchase 383 Functional Literacy Materials and Equipments for Centres Across the State</t>
  </si>
  <si>
    <t>Purchase of Scanner</t>
  </si>
  <si>
    <t>Purchase of Furniture and Fittings</t>
  </si>
  <si>
    <t>Purchase 3 vehicles</t>
  </si>
  <si>
    <t>Purchase of Laptops</t>
  </si>
  <si>
    <t>Construction of ECCDE Games Village</t>
  </si>
  <si>
    <t>Construction of a Block of Classroom for Primary Schools</t>
  </si>
  <si>
    <t>Construction of Perimeter Fence for 28 Primary Schools</t>
  </si>
  <si>
    <t>Construction of Four Block of Classrooms for JSS</t>
  </si>
  <si>
    <t>Furnishing and Equipping of JSS Laboratory</t>
  </si>
  <si>
    <t>Construction of Block of 2 Classrooms and Office</t>
  </si>
  <si>
    <t>Conduct Trainning of 150 Head Teachers on Whole School Development</t>
  </si>
  <si>
    <t>Equipping of SUBEB EMIS Office</t>
  </si>
  <si>
    <t>Conduct Training of 200 Care Givers on Dandali SEMAME Square for out of Reach Instructional Materials Mupplied</t>
  </si>
  <si>
    <t>Conduct Head Teachers Training on Class Room Practice</t>
  </si>
  <si>
    <t xml:space="preserve">Conduct Training for 1150 Teachers by 46 Core Teachers in 23 Clusters </t>
  </si>
  <si>
    <t>Conduct Post Training Impart Survey by 9 Trainers</t>
  </si>
  <si>
    <t>Two Day Workshop on Coordination, Monitoring and Report Writing</t>
  </si>
  <si>
    <t xml:space="preserve">Workshop on Evaluation and Tracking </t>
  </si>
  <si>
    <t>Orientation for SUBEB Staff by GWSIT on Classroom Practice</t>
  </si>
  <si>
    <t>Orientation for 23 Ess, HOD/ss by SUBEB on Classroom Practice</t>
  </si>
  <si>
    <t>LGSIT Senatorial Classroom Practice</t>
  </si>
  <si>
    <t>SSOs Training on  Classroom Practice</t>
  </si>
  <si>
    <t>Workshop on Evaluation and Tracking cycle 1-4</t>
  </si>
  <si>
    <t>Conduct of School Visit</t>
  </si>
  <si>
    <t>Conduct of Workshop Review Meeting</t>
  </si>
  <si>
    <t>Rehabilitation of Classrooms for Primary Schools in Kaduna State</t>
  </si>
  <si>
    <t xml:space="preserve">Conduct of Accreditation of 34no. New HND/ND Courses </t>
  </si>
  <si>
    <t>Providing of Scholarship to 37 Staff (TETFund)</t>
  </si>
  <si>
    <t>Publication cost to 9 Staff (TET fund)</t>
  </si>
  <si>
    <t xml:space="preserve"> Cost Assistance for the Publication of Academic Journals to 10 Staff (TETFund)</t>
  </si>
  <si>
    <t>Purchase of Assorted Text Books and Journals for School Libraries (TET fund)</t>
  </si>
  <si>
    <t>Procurement  of Equipments</t>
  </si>
  <si>
    <t xml:space="preserve">Procure 205 Laboratory Equipments </t>
  </si>
  <si>
    <t xml:space="preserve">Maintain 10 Students Hostel </t>
  </si>
  <si>
    <t xml:space="preserve">Upgrading and Equipping of General Hospitals Acros the the State </t>
  </si>
  <si>
    <t>Construction of Visiting Doctors' Quarters, and Utility Quarters at Yusuf Dantsoho Memorial Hospital Tudun Wada, Kaduna</t>
  </si>
  <si>
    <t>Construction and Repairs of Doctors' Quarters, Additional Wards, Laboratory and Admin Blocks at General Hospital Rigasa</t>
  </si>
  <si>
    <t>Provision of 2No. Powered Borehole with Overhead Tank at General Hospital Rigasa, Sabon-Tasha and Kwoi</t>
  </si>
  <si>
    <t>Construction and Rehabilitation of Laboratory Block, Additional Wards, 1No. Block of 4No.2-Bedroom Flats at Gen. Hospital Sabon Tasha</t>
  </si>
  <si>
    <t>Solar for Health Care Initiative to Improve Health Care Delivery</t>
  </si>
  <si>
    <t>Construct, and Furnish Offices at Permanent Site of SPHCDA. Construction of Fence and Gate, Landscaping and Drainages at SPHCA Headquarters</t>
  </si>
  <si>
    <t>Procure Seed Stock Drugs for 512 PHCs Facilities</t>
  </si>
  <si>
    <t>Improve Infrastructure at Cold Store and HF and Establishment of a Functional Planned Preventive Maintenance (PPM) of Existing Solar Cold Chain Equipments</t>
  </si>
  <si>
    <t>Conduct Feasibilty studies to Improve DMA Capacity to  Manufacture Essentials Medicines/Pharmaceuticals</t>
  </si>
  <si>
    <t>Rehabilitation/Facelift of Perimeter Fence(Plus Main Gate) and Landscaping of Terrain of  KDSMSMA</t>
  </si>
  <si>
    <t>Procurement of Medical Stores Tools/Equipments</t>
  </si>
  <si>
    <t xml:space="preserve">Construction of 2no. Admin Blocks at KDSMSMA </t>
  </si>
  <si>
    <t>Repair of 25No  Industrial Air Conditioners</t>
  </si>
  <si>
    <t>Design/Feasibility of Museum and Cultural Center in Kaduna Town</t>
  </si>
  <si>
    <t>Rehabilitation/Renovation of Lere Stadium</t>
  </si>
  <si>
    <t>Rehabilitation/Renovation of Saminaka Stadium</t>
  </si>
  <si>
    <t>Rehabilitation/Renovation of Youth Skills Acquisition Center at Tohu-Dogarawa, Sabon Gari</t>
  </si>
  <si>
    <t>Construction of a Standard Para-Soccer Pitch to Enhance Para Events in the State</t>
  </si>
  <si>
    <t>Renovate and Equipping of NYSC Orientation Camp</t>
  </si>
  <si>
    <t>Procurement of 3 set of Musical Instruments, Costumes, Stage lights and Rehearsal Kits for 30 Artists of the State Troupe -BAZOBE</t>
  </si>
  <si>
    <t>Construction of Museum and Cultural Center in Kaduna Town</t>
  </si>
  <si>
    <t>Rehabilitation and Renovation of the Youth Skills Acquisition Center at Tohu-Dogarawa, Zaria</t>
  </si>
  <si>
    <t>Construct and Equipt 2 More Youth Skills Acquisition Centers in Zone 2 and 3</t>
  </si>
  <si>
    <t xml:space="preserve">Participation of 43 Contingents in 10 Annual Cultural Fora at Local Community Levels </t>
  </si>
  <si>
    <t xml:space="preserve">Host and Participate in League Competitions </t>
  </si>
  <si>
    <t>Construction  and Equipping of  3 Women Skills Acquization Centers in the 3 Senatorial Zones (One Per Zone)</t>
  </si>
  <si>
    <t xml:space="preserve">Develop Cottage Industry Revival Blue Print </t>
  </si>
  <si>
    <t>Training of  100  Women to Access Market, Processing, Packaging and Networking</t>
  </si>
  <si>
    <t xml:space="preserve">Renovation  and equipping  of  Kafanchan and Kaduna  Remand Homes </t>
  </si>
  <si>
    <t xml:space="preserve">Construction  and Equipping of  2 Youth Friendly Centres in Zones 2 and 3  </t>
  </si>
  <si>
    <t>Construction  and Equipping of  3  Women Skills Centers in the 3 Senatorial Zones  (One Per Zone)</t>
  </si>
  <si>
    <t xml:space="preserve">Construction of  1 Trauma Management Centre </t>
  </si>
  <si>
    <t xml:space="preserve">Conduct High level Advocacy &amp; Sensitisation to State House of Assembly and General Public on GESI Related Bills </t>
  </si>
  <si>
    <t>Re-Designing of Rehabilitation Centres for Kaduna and Kafanchan</t>
  </si>
  <si>
    <t>Conduct  Census to Ascertain the Number of  PWDs in the 23 LGs</t>
  </si>
  <si>
    <t xml:space="preserve">Procurement  and Distribution of  500 Vocation Starter Kits for Trainees PWDs </t>
  </si>
  <si>
    <t>Build 3 Integrated  Communities  for PWDs Across the State (One  in Each Senatorial Zone)</t>
  </si>
  <si>
    <t>Consultancy Services for Detailed Engineering Design for Kachia Water Supply Project</t>
  </si>
  <si>
    <t>Consultancy Services for Detailed Engineering Design for Birnin Gwari Water Supply Project</t>
  </si>
  <si>
    <t>Kaduna State Counterpart funding for IsDB</t>
  </si>
  <si>
    <t>Supply and Installation of 4 No Package Plants of 95MLD Production Capacity</t>
  </si>
  <si>
    <t>Construction of Transmission Mains (IsDB)</t>
  </si>
  <si>
    <t>Re-Evaluation and Updation of KSWB Fixed Asset Register</t>
  </si>
  <si>
    <t>ZARIA WATER SUPPLY EXPANSION PROJECT (Construction of Transmission Mains and Service Reservoir) IsDB</t>
  </si>
  <si>
    <t>ZARIA WATER SUPPLY EXPANSION PROJECT (Rehabilitation Network and Sanitation Facilities) AfDB</t>
  </si>
  <si>
    <t>Conduct CLTS Process of 2500 Communities to Attain ODF Status</t>
  </si>
  <si>
    <t>Construction of    Sanitation Facilities in Institutions/ Public Places.</t>
  </si>
  <si>
    <t>Construction of  Additional 3,830 and Rehabilitation of  3,000  Boreholes</t>
  </si>
  <si>
    <t>VLOM Concept in 450 Communities for Sustainability of WASH Facilities Institutionalized</t>
  </si>
  <si>
    <t>Payment of Liability</t>
  </si>
  <si>
    <t>PROCUREMENT OF VEHICLES AND OFFICE EQUIPMENT</t>
  </si>
  <si>
    <t>Mineral Exploration</t>
  </si>
  <si>
    <t>Trenching and Core-Drilling to Determine the Thickness and lateral Extend of the Deposits</t>
  </si>
  <si>
    <t>Construction of 3Nos. Dumpsites</t>
  </si>
  <si>
    <t>Construction of 10Nos. Transfer Stations</t>
  </si>
  <si>
    <t>Purchase of 30,000Nos (240 ltrs) Plastic Refuse Containers</t>
  </si>
  <si>
    <t>Construction of 10Nos. Public Toilets</t>
  </si>
  <si>
    <t>Procurement  and Installation of  5 Sets of Weather Recording Equipments</t>
  </si>
  <si>
    <t>Trenching and Core-Drilling to Determine the Thickness and Lateral Extend of the Deposits</t>
  </si>
  <si>
    <t>Provision of Aesthetics / Landscaping Equipments</t>
  </si>
  <si>
    <t>Provision of Industrial Pollution Control Equipments</t>
  </si>
  <si>
    <t>Provision of Laboratory Reagents / Equipments</t>
  </si>
  <si>
    <t>Provision of Small Tools / Equipments</t>
  </si>
  <si>
    <t>Establishment of Solid Waste Management GIS Station</t>
  </si>
  <si>
    <t>Procurement of GPS Equipments</t>
  </si>
  <si>
    <t>Procurement of Personal Protective Equipments (PPEs)</t>
  </si>
  <si>
    <t>Procurement of Complete Mobile Soil Kit</t>
  </si>
  <si>
    <t>Procurement of Fume Hood &amp; Laminar Flow Cabinet(HACH)</t>
  </si>
  <si>
    <t>Review of Zaria/Sabon-Gari and Preparation of 18 other Masterplan and Mappings.</t>
  </si>
  <si>
    <t>Upgrade,Review of Kaduna Masterplan and Mapping</t>
  </si>
  <si>
    <t>Assessment for Compensation for Land and Economic Trees for 4Nos. Layouts of 500ha each in Eastern Sector</t>
  </si>
  <si>
    <t>Procurement of Surveys Equipments</t>
  </si>
  <si>
    <t>Construction of Offices in 22 LGAs</t>
  </si>
  <si>
    <t> Provision of Operational Vehicles for Development Control and Patrol</t>
  </si>
  <si>
    <t xml:space="preserve">Compensation for Public land Reclamation </t>
  </si>
  <si>
    <t>Procurement of Professional Still Campcoders</t>
  </si>
  <si>
    <t>Procurement of Professional Still Camaras</t>
  </si>
  <si>
    <t>Procurement of Telepromter</t>
  </si>
  <si>
    <t>Procurement of  PABX KX TDA600 Intercom Machine</t>
  </si>
  <si>
    <t>Procurement of  MIPRO WIRELESS AMPLIFIER PHOTO SOUND</t>
  </si>
  <si>
    <t>Supply, Installation and Up-grading of Editing Suites of the Film Department</t>
  </si>
  <si>
    <t xml:space="preserve">Procurement of State of the Art Equipments (Digitization) </t>
  </si>
  <si>
    <t>Supply of Spare Parts for AM, FM, Zaria, Kafanchan and Kujama Transmitting Stations</t>
  </si>
  <si>
    <t>Purchase of 3 Listening Machines</t>
  </si>
  <si>
    <t>Procurement of   Fire Fighting Equipments</t>
  </si>
  <si>
    <t>Procurement of   Office Furniture</t>
  </si>
  <si>
    <t>Procurement of   Printing Machines</t>
  </si>
  <si>
    <t>Procurement of  Computers</t>
  </si>
  <si>
    <t>Procurement of  Photocopying Machines</t>
  </si>
  <si>
    <t>Procurement of  Printers</t>
  </si>
  <si>
    <t>Procurement of  Scanners</t>
  </si>
  <si>
    <t xml:space="preserve"> Procurement and Installation of CCTV Cameras for Monitoring and Surveillance towards Reducing Criminal Activities within the Metropolis and Securing the State</t>
  </si>
  <si>
    <t>Procurement of Geo-position Interceptor and location of GSM UMTS System to Check the Trends and Intercept/locate Kidnapers GSM calls.</t>
  </si>
  <si>
    <t>Procurement of Drones/Unmanned Aerial Vehicle (UAV) to identify locations of Armed bandits in our Forest Reserves across the State and flush them out</t>
  </si>
  <si>
    <t>Comprehensive Security and Surveillance Equipments</t>
  </si>
  <si>
    <t>Landscaping  and Construction of  Parking Lot</t>
  </si>
  <si>
    <t>Purchase of Students Beds and Mattresses</t>
  </si>
  <si>
    <t>Procurement of Computer and ICT Equipments</t>
  </si>
  <si>
    <t>Procurement of Teaching Materials</t>
  </si>
  <si>
    <t>Procurement of Working Materials</t>
  </si>
  <si>
    <t>Purchase of Furniture</t>
  </si>
  <si>
    <t>Furnishing of Office Block at the Ministry's Headquarter.</t>
  </si>
  <si>
    <t>Construction of Wall Fence and Boys Quarters at Emir of Birnin Gwari Guest House at B/Gwari.</t>
  </si>
  <si>
    <t>Completion and Furnishing of Agwam Takad Palace at Fadan Attakar</t>
  </si>
  <si>
    <t>Construction of Four [4] bedrooms Bungalow Guest House of Emir of Jama'a at Kafanchan</t>
  </si>
  <si>
    <t xml:space="preserve"> Construction of Waiting Charmbers at Agwam Attyap Palace.</t>
  </si>
  <si>
    <t>Purchase of Fire Fighting Equipments</t>
  </si>
  <si>
    <t>Purchase of Emergency Management Equipments</t>
  </si>
  <si>
    <t xml:space="preserve">Procurement of Additional Fire Fighting Equipments </t>
  </si>
  <si>
    <t>Procurement of Fire Fighting Uniforms and other Clothing</t>
  </si>
  <si>
    <t>Procurement of Fire Fighting Materials and Reagents</t>
  </si>
  <si>
    <t>Procurement of Operational Vehicle</t>
  </si>
  <si>
    <t xml:space="preserve">Fire fighting and Rescue Equipments </t>
  </si>
  <si>
    <t>Completion of On-going Renovation of Conference Hall</t>
  </si>
  <si>
    <t>Installation of 2Nos.Boreholes</t>
  </si>
  <si>
    <t>Consultancy Fee for Software Development</t>
  </si>
  <si>
    <t>Purchase of 30 Nos. Computers</t>
  </si>
  <si>
    <t>Purchase of Laserjet Printers 20Nos.</t>
  </si>
  <si>
    <t>Provision of Internet Services for Head Office</t>
  </si>
  <si>
    <t>Installation of  DSTV Services</t>
  </si>
  <si>
    <t>Purchase of HP laserjet Printer 7500A 10 Nos.</t>
  </si>
  <si>
    <t>Procurement of Centralized Generator and Air Conditioning Systems in MDAs</t>
  </si>
  <si>
    <t>Design and Upgrading of Horticultural requirements in all State Government premises</t>
  </si>
  <si>
    <t>Refurbishment and Upgrading of Furniture and Fixtures in all State Government Premises</t>
  </si>
  <si>
    <t>Purchase of 2Nos. Sharp Copier AR-5618</t>
  </si>
  <si>
    <t>Creation of International Standard Asset Register with Data base</t>
  </si>
  <si>
    <t>Improvement and Maintenance of Sewage and Drainage Systems.</t>
  </si>
  <si>
    <t>Installation of fire Detection and Fire Fighting Equipments in MDAs</t>
  </si>
  <si>
    <t>Acquisition of Health and Safety Gadgets in all MDAs</t>
  </si>
  <si>
    <t>Construction of Warehouse and Storage Facilities</t>
  </si>
  <si>
    <t>Insurance of all State Government Premises</t>
  </si>
  <si>
    <t>Purchase of 30Nos. Air Conditioners</t>
  </si>
  <si>
    <t>Purchase of 17Nos Vehicles</t>
  </si>
  <si>
    <t>Leasing of 3bedroom Detached Houses for DG and 3 Executive Directors</t>
  </si>
  <si>
    <t xml:space="preserve">Sensitization on E-Governance for Core MDAs </t>
  </si>
  <si>
    <t>Expansion and Maintenance of E-Library</t>
  </si>
  <si>
    <t>Development of Sector Implementation Results Framework</t>
  </si>
  <si>
    <t>Conduct State-wide Performance Reviews</t>
  </si>
  <si>
    <t>Grant to Development Programmes (MDGs/SDGs)</t>
  </si>
  <si>
    <t>Consultation and Engagement Activities with Citizens, CSOs and the Private Sector</t>
  </si>
  <si>
    <t>Collaborative Survey With NBS</t>
  </si>
  <si>
    <t>Creation of  State GIS</t>
  </si>
  <si>
    <t>Publishing of  Market Calender and Other Statistical Digest</t>
  </si>
  <si>
    <t>Renovation of Hon. PCCA's Official Residence</t>
  </si>
  <si>
    <t>Conduct of Formal and Informal Environmental Awareness Programme</t>
  </si>
  <si>
    <t>Risk Assessment / Geological Studies Programme</t>
  </si>
  <si>
    <t>Completion  of Block Wall at Tum Nikyom Palace at Ung-Fari</t>
  </si>
  <si>
    <t xml:space="preserve"> Construction of Wall Fence at Chief of Ayu Palace at Mayir</t>
  </si>
  <si>
    <t>Construction of Official Residence of Sarkin Lere Palace at Lere</t>
  </si>
  <si>
    <t>Construction /Furnishing of Sarki Kagarko Palace at Kagarko</t>
  </si>
  <si>
    <t>Construction of Proposed Ngbiar Angan  Palace at Fadan Kamantan</t>
  </si>
  <si>
    <t>ADDITION</t>
  </si>
  <si>
    <t>SUBTRACTION</t>
  </si>
  <si>
    <t>Capacity Building</t>
  </si>
  <si>
    <t>Local Transport and Travelling</t>
  </si>
  <si>
    <t>Promotion (Service wide)</t>
  </si>
  <si>
    <t>Welfare Package</t>
  </si>
  <si>
    <t>External Examination Fees</t>
  </si>
  <si>
    <t>Running Cost/Centre Imprest</t>
  </si>
  <si>
    <t>Salaries</t>
  </si>
  <si>
    <t>LMCU (M&amp;E)</t>
  </si>
  <si>
    <t>Public Health Emergencies</t>
  </si>
  <si>
    <t>Local Travel and Transport - Civil Servant</t>
  </si>
  <si>
    <t>Computer Material and Supply</t>
  </si>
  <si>
    <t>Maintenance of Communication equipment</t>
  </si>
  <si>
    <t>Local Training (Regular)</t>
  </si>
  <si>
    <t>Cleaning and Fumigation Services</t>
  </si>
  <si>
    <t>Honourarium and Sitting Allowance</t>
  </si>
  <si>
    <t>Publicity and Advertisements</t>
  </si>
  <si>
    <t>Bureau of State Pension</t>
  </si>
  <si>
    <t>Procure Drugs for Maternal Health Care (MCH) Under Free Maternal and Child Healthcare (FMCH) program</t>
  </si>
  <si>
    <t>Procure Drugs  for Infant Health Care (IHC) under Free Maternal and Child Healthcare (FMCH) Program</t>
  </si>
  <si>
    <t>Procure Drugs  For Under-Five Health Care (U-5HC) Under Free Maternal and Child Healthcare (FMCH) Program</t>
  </si>
  <si>
    <t>Complete the Construction and Renovation of two (2) Admin Blocks at DMA</t>
  </si>
  <si>
    <t>Purchase of 266Nos (1100 ltrs) Galvanize Metal Refuse Container</t>
  </si>
  <si>
    <t>Rehabilitation and furnishing of standing courts and provision of customized mobility for mobile courts</t>
  </si>
  <si>
    <t>Partnership for Expanded WASH with FMWR</t>
  </si>
  <si>
    <t>Setting up and equipping of Mini Data Centre</t>
  </si>
  <si>
    <t>Annual Retiree Enrollment Exercise</t>
  </si>
  <si>
    <t>Document Management System</t>
  </si>
  <si>
    <t>Teaching Aids Materials/Consumables</t>
  </si>
  <si>
    <t>State funds</t>
  </si>
  <si>
    <t>Savings/Deductions</t>
  </si>
  <si>
    <t>New Draft Estimates 2017</t>
  </si>
  <si>
    <t>Statutory Allocation From Federation Account</t>
  </si>
  <si>
    <t>Solar For Health Care Initiative to Improve Health Care Delivery (DFID Grant)</t>
  </si>
  <si>
    <t>Saving One Million Lives Initiative</t>
  </si>
  <si>
    <t>Teachers' Development Project (TDP)- DFID Joint Projects</t>
  </si>
  <si>
    <t>Add Statutory Revenue From Federation Account</t>
  </si>
  <si>
    <t>PRIVATE SCHOOLS' BOARD</t>
  </si>
  <si>
    <t>xxi</t>
  </si>
  <si>
    <t>xxii</t>
  </si>
  <si>
    <t>State Pension Donor Support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</si>
</sst>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  <numFmt numFmtId="167" formatCode="_(* #,##0.00_);_(* \(#,##0.00\);_(* &quot;-&quot;_);_(@_)"/>
    <numFmt numFmtId="168" formatCode="_(* #,##0.0000_);_(* \(#,##0.0000\);_(* &quot;-&quot;??_);_(@_)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Yu Mincho Light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22"/>
      <name val="Calibri"/>
      <family val="2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mbria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u/>
      <sz val="10"/>
      <name val="Calibri"/>
      <family val="2"/>
      <scheme val="minor"/>
    </font>
    <font>
      <sz val="2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9" fontId="1" fillId="0" borderId="0" applyFont="0" applyFill="0" applyBorder="0" applyAlignment="0" applyProtection="0"/>
  </cellStyleXfs>
  <cellXfs count="543">
    <xf numFmtId="0" fontId="0" fillId="0" borderId="0" xfId="0"/>
    <xf numFmtId="0" fontId="0" fillId="0" borderId="0" xfId="0" applyAlignment="1">
      <alignment horizontal="center"/>
    </xf>
    <xf numFmtId="165" fontId="0" fillId="0" borderId="0" xfId="1" applyNumberFormat="1" applyFont="1"/>
    <xf numFmtId="0" fontId="0" fillId="0" borderId="1" xfId="0" applyBorder="1"/>
    <xf numFmtId="165" fontId="0" fillId="0" borderId="1" xfId="1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0" xfId="0" applyFont="1"/>
    <xf numFmtId="0" fontId="0" fillId="0" borderId="2" xfId="0" applyBorder="1"/>
    <xf numFmtId="0" fontId="2" fillId="0" borderId="2" xfId="0" applyFont="1" applyBorder="1"/>
    <xf numFmtId="43" fontId="3" fillId="0" borderId="1" xfId="1" applyNumberFormat="1" applyFont="1" applyBorder="1" applyAlignment="1"/>
    <xf numFmtId="43" fontId="3" fillId="0" borderId="1" xfId="1" applyNumberFormat="1" applyFont="1" applyBorder="1"/>
    <xf numFmtId="43" fontId="5" fillId="0" borderId="1" xfId="1" applyNumberFormat="1" applyFont="1" applyBorder="1"/>
    <xf numFmtId="43" fontId="0" fillId="0" borderId="1" xfId="1" applyNumberFormat="1" applyFont="1" applyBorder="1"/>
    <xf numFmtId="43" fontId="2" fillId="0" borderId="1" xfId="1" applyNumberFormat="1" applyFont="1" applyBorder="1"/>
    <xf numFmtId="43" fontId="1" fillId="0" borderId="1" xfId="1" applyNumberFormat="1" applyFont="1" applyBorder="1"/>
    <xf numFmtId="43" fontId="0" fillId="0" borderId="0" xfId="0" applyNumberFormat="1"/>
    <xf numFmtId="43" fontId="0" fillId="0" borderId="1" xfId="0" applyNumberFormat="1" applyBorder="1"/>
    <xf numFmtId="0" fontId="0" fillId="0" borderId="0" xfId="0" applyFill="1"/>
    <xf numFmtId="0" fontId="0" fillId="0" borderId="0" xfId="0" applyFill="1" applyAlignment="1">
      <alignment horizontal="center"/>
    </xf>
    <xf numFmtId="165" fontId="0" fillId="0" borderId="0" xfId="1" applyNumberFormat="1" applyFont="1" applyFill="1"/>
    <xf numFmtId="0" fontId="2" fillId="0" borderId="1" xfId="0" applyFont="1" applyFill="1" applyBorder="1" applyAlignment="1">
      <alignment horizontal="center"/>
    </xf>
    <xf numFmtId="165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165" fontId="2" fillId="0" borderId="1" xfId="1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65" fontId="0" fillId="0" borderId="1" xfId="1" applyNumberFormat="1" applyFont="1" applyFill="1" applyBorder="1"/>
    <xf numFmtId="43" fontId="0" fillId="0" borderId="1" xfId="1" applyNumberFormat="1" applyFont="1" applyFill="1" applyBorder="1"/>
    <xf numFmtId="0" fontId="2" fillId="0" borderId="1" xfId="0" applyFont="1" applyFill="1" applyBorder="1"/>
    <xf numFmtId="43" fontId="2" fillId="0" borderId="1" xfId="1" applyNumberFormat="1" applyFont="1" applyFill="1" applyBorder="1"/>
    <xf numFmtId="0" fontId="0" fillId="0" borderId="1" xfId="0" applyFont="1" applyFill="1" applyBorder="1"/>
    <xf numFmtId="43" fontId="3" fillId="0" borderId="1" xfId="1" applyNumberFormat="1" applyFont="1" applyFill="1" applyBorder="1"/>
    <xf numFmtId="0" fontId="2" fillId="0" borderId="1" xfId="0" applyFont="1" applyFill="1" applyBorder="1" applyAlignment="1">
      <alignment horizontal="right"/>
    </xf>
    <xf numFmtId="43" fontId="0" fillId="0" borderId="0" xfId="0" applyNumberFormat="1" applyFill="1"/>
    <xf numFmtId="0" fontId="0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Font="1"/>
    <xf numFmtId="0" fontId="5" fillId="0" borderId="1" xfId="0" applyFont="1" applyBorder="1"/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43" fontId="0" fillId="0" borderId="1" xfId="1" applyNumberFormat="1" applyFont="1" applyBorder="1" applyAlignment="1">
      <alignment horizontal="right" wrapText="1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43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right" vertical="center" wrapText="1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43" fontId="2" fillId="0" borderId="0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9" fillId="0" borderId="4" xfId="0" applyFont="1" applyBorder="1"/>
    <xf numFmtId="41" fontId="0" fillId="0" borderId="4" xfId="0" applyNumberFormat="1" applyFont="1" applyBorder="1"/>
    <xf numFmtId="0" fontId="0" fillId="0" borderId="4" xfId="0" applyFont="1" applyBorder="1"/>
    <xf numFmtId="43" fontId="0" fillId="0" borderId="1" xfId="1" applyNumberFormat="1" applyFont="1" applyBorder="1" applyAlignment="1">
      <alignment horizontal="right"/>
    </xf>
    <xf numFmtId="167" fontId="2" fillId="0" borderId="1" xfId="1" applyNumberFormat="1" applyFont="1" applyFill="1" applyBorder="1"/>
    <xf numFmtId="0" fontId="2" fillId="0" borderId="0" xfId="0" applyFont="1" applyFill="1"/>
    <xf numFmtId="0" fontId="2" fillId="0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right"/>
    </xf>
    <xf numFmtId="41" fontId="2" fillId="0" borderId="7" xfId="1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41" fontId="2" fillId="0" borderId="0" xfId="1" applyNumberFormat="1" applyFont="1" applyFill="1" applyBorder="1"/>
    <xf numFmtId="0" fontId="2" fillId="0" borderId="0" xfId="0" applyFont="1" applyFill="1" applyAlignment="1">
      <alignment vertical="center"/>
    </xf>
    <xf numFmtId="167" fontId="0" fillId="0" borderId="1" xfId="0" applyNumberFormat="1" applyFont="1" applyBorder="1"/>
    <xf numFmtId="0" fontId="0" fillId="0" borderId="1" xfId="0" applyFont="1" applyBorder="1"/>
    <xf numFmtId="167" fontId="0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5" fillId="0" borderId="1" xfId="0" applyFont="1" applyBorder="1" applyAlignment="1">
      <alignment horizontal="right"/>
    </xf>
    <xf numFmtId="0" fontId="10" fillId="0" borderId="1" xfId="0" applyFont="1" applyBorder="1"/>
    <xf numFmtId="0" fontId="5" fillId="0" borderId="8" xfId="0" applyFont="1" applyBorder="1" applyAlignment="1">
      <alignment horizontal="center" vertical="center" wrapText="1"/>
    </xf>
    <xf numFmtId="166" fontId="3" fillId="0" borderId="8" xfId="1" applyNumberFormat="1" applyFont="1" applyBorder="1"/>
    <xf numFmtId="165" fontId="3" fillId="0" borderId="8" xfId="1" applyNumberFormat="1" applyFont="1" applyBorder="1"/>
    <xf numFmtId="166" fontId="5" fillId="0" borderId="8" xfId="0" applyNumberFormat="1" applyFont="1" applyBorder="1"/>
    <xf numFmtId="0" fontId="3" fillId="0" borderId="8" xfId="0" applyFont="1" applyBorder="1"/>
    <xf numFmtId="166" fontId="3" fillId="0" borderId="8" xfId="0" applyNumberFormat="1" applyFont="1" applyBorder="1"/>
    <xf numFmtId="166" fontId="5" fillId="0" borderId="8" xfId="1" applyNumberFormat="1" applyFont="1" applyBorder="1"/>
    <xf numFmtId="164" fontId="3" fillId="0" borderId="8" xfId="1" applyNumberFormat="1" applyFont="1" applyBorder="1"/>
    <xf numFmtId="164" fontId="5" fillId="0" borderId="8" xfId="1" applyNumberFormat="1" applyFont="1" applyBorder="1"/>
    <xf numFmtId="164" fontId="3" fillId="0" borderId="8" xfId="0" applyNumberFormat="1" applyFont="1" applyBorder="1"/>
    <xf numFmtId="164" fontId="5" fillId="0" borderId="8" xfId="0" applyNumberFormat="1" applyFont="1" applyBorder="1"/>
    <xf numFmtId="43" fontId="2" fillId="0" borderId="0" xfId="1" applyFont="1"/>
    <xf numFmtId="0" fontId="2" fillId="0" borderId="1" xfId="0" applyFont="1" applyBorder="1" applyAlignment="1">
      <alignment wrapText="1"/>
    </xf>
    <xf numFmtId="43" fontId="2" fillId="0" borderId="1" xfId="1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43" fontId="1" fillId="0" borderId="1" xfId="1" applyFont="1" applyBorder="1"/>
    <xf numFmtId="0" fontId="2" fillId="0" borderId="0" xfId="0" applyFont="1" applyAlignment="1">
      <alignment wrapText="1"/>
    </xf>
    <xf numFmtId="43" fontId="0" fillId="0" borderId="0" xfId="1" applyFont="1"/>
    <xf numFmtId="43" fontId="0" fillId="0" borderId="0" xfId="1" applyFont="1" applyBorder="1"/>
    <xf numFmtId="0" fontId="0" fillId="0" borderId="0" xfId="0" applyAlignment="1">
      <alignment wrapText="1"/>
    </xf>
    <xf numFmtId="43" fontId="2" fillId="0" borderId="1" xfId="1" applyFont="1" applyBorder="1" applyAlignment="1">
      <alignment horizontal="center" vertical="center" wrapText="1"/>
    </xf>
    <xf numFmtId="165" fontId="2" fillId="0" borderId="1" xfId="1" applyNumberFormat="1" applyFont="1" applyBorder="1"/>
    <xf numFmtId="165" fontId="2" fillId="0" borderId="1" xfId="1" applyNumberFormat="1" applyFont="1" applyFill="1" applyBorder="1"/>
    <xf numFmtId="0" fontId="5" fillId="0" borderId="0" xfId="0" applyFont="1"/>
    <xf numFmtId="43" fontId="0" fillId="0" borderId="0" xfId="1" applyNumberFormat="1" applyFont="1" applyFill="1"/>
    <xf numFmtId="43" fontId="2" fillId="0" borderId="1" xfId="1" applyNumberFormat="1" applyFont="1" applyFill="1" applyBorder="1" applyAlignment="1">
      <alignment horizontal="center" vertical="center" wrapText="1"/>
    </xf>
    <xf numFmtId="43" fontId="0" fillId="0" borderId="0" xfId="1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wrapText="1"/>
    </xf>
    <xf numFmtId="0" fontId="4" fillId="0" borderId="0" xfId="0" applyFont="1"/>
    <xf numFmtId="0" fontId="2" fillId="0" borderId="1" xfId="0" applyFont="1" applyBorder="1" applyAlignment="1">
      <alignment horizontal="right" wrapText="1"/>
    </xf>
    <xf numFmtId="43" fontId="0" fillId="0" borderId="1" xfId="1" applyFont="1" applyBorder="1"/>
    <xf numFmtId="43" fontId="1" fillId="0" borderId="1" xfId="1" applyFont="1" applyBorder="1" applyAlignment="1"/>
    <xf numFmtId="0" fontId="0" fillId="0" borderId="0" xfId="0" applyAlignment="1"/>
    <xf numFmtId="49" fontId="0" fillId="0" borderId="1" xfId="0" applyNumberFormat="1" applyBorder="1"/>
    <xf numFmtId="49" fontId="2" fillId="0" borderId="1" xfId="0" applyNumberFormat="1" applyFont="1" applyBorder="1"/>
    <xf numFmtId="49" fontId="0" fillId="0" borderId="1" xfId="0" applyNumberFormat="1" applyFont="1" applyBorder="1"/>
    <xf numFmtId="49" fontId="0" fillId="0" borderId="0" xfId="0" applyNumberFormat="1"/>
    <xf numFmtId="43" fontId="18" fillId="0" borderId="0" xfId="1" applyFont="1"/>
    <xf numFmtId="0" fontId="19" fillId="0" borderId="0" xfId="0" applyFont="1" applyAlignment="1"/>
    <xf numFmtId="43" fontId="19" fillId="0" borderId="0" xfId="1" applyFont="1" applyAlignment="1"/>
    <xf numFmtId="0" fontId="0" fillId="0" borderId="0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43" fontId="0" fillId="0" borderId="1" xfId="1" applyFont="1" applyFill="1" applyBorder="1"/>
    <xf numFmtId="43" fontId="2" fillId="0" borderId="1" xfId="1" applyFont="1" applyFill="1" applyBorder="1"/>
    <xf numFmtId="43" fontId="1" fillId="0" borderId="1" xfId="1" applyFont="1" applyFill="1" applyBorder="1"/>
    <xf numFmtId="0" fontId="0" fillId="0" borderId="1" xfId="0" applyFont="1" applyFill="1" applyBorder="1" applyAlignment="1"/>
    <xf numFmtId="43" fontId="1" fillId="0" borderId="1" xfId="1" applyFont="1" applyFill="1" applyBorder="1" applyAlignment="1"/>
    <xf numFmtId="164" fontId="0" fillId="0" borderId="0" xfId="0" applyNumberFormat="1"/>
    <xf numFmtId="0" fontId="22" fillId="0" borderId="0" xfId="0" applyFont="1" applyFill="1" applyAlignment="1">
      <alignment horizontal="left"/>
    </xf>
    <xf numFmtId="0" fontId="22" fillId="0" borderId="0" xfId="0" applyFont="1" applyFill="1"/>
    <xf numFmtId="0" fontId="22" fillId="0" borderId="0" xfId="0" applyFont="1" applyFill="1" applyAlignment="1">
      <alignment horizontal="left" wrapText="1"/>
    </xf>
    <xf numFmtId="43" fontId="22" fillId="0" borderId="0" xfId="1" applyFont="1" applyFill="1"/>
    <xf numFmtId="0" fontId="24" fillId="0" borderId="4" xfId="0" applyFont="1" applyFill="1" applyBorder="1" applyAlignment="1">
      <alignment horizontal="left"/>
    </xf>
    <xf numFmtId="0" fontId="24" fillId="0" borderId="4" xfId="0" applyFont="1" applyFill="1" applyBorder="1" applyAlignment="1">
      <alignment horizontal="center"/>
    </xf>
    <xf numFmtId="0" fontId="23" fillId="0" borderId="0" xfId="0" applyFont="1" applyFill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43" fontId="23" fillId="0" borderId="1" xfId="1" applyFont="1" applyFill="1" applyBorder="1"/>
    <xf numFmtId="0" fontId="6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43" fontId="23" fillId="0" borderId="1" xfId="5" applyNumberFormat="1" applyFont="1" applyFill="1" applyBorder="1"/>
    <xf numFmtId="0" fontId="7" fillId="0" borderId="1" xfId="0" applyFont="1" applyFill="1" applyBorder="1" applyAlignment="1">
      <alignment horizontal="right" vertical="center" wrapText="1"/>
    </xf>
    <xf numFmtId="43" fontId="25" fillId="0" borderId="1" xfId="1" applyFont="1" applyFill="1" applyBorder="1"/>
    <xf numFmtId="0" fontId="6" fillId="0" borderId="7" xfId="0" applyFont="1" applyFill="1" applyBorder="1" applyAlignment="1">
      <alignment horizontal="left"/>
    </xf>
    <xf numFmtId="0" fontId="6" fillId="0" borderId="7" xfId="0" applyFont="1" applyFill="1" applyBorder="1"/>
    <xf numFmtId="0" fontId="6" fillId="0" borderId="7" xfId="0" applyFont="1" applyFill="1" applyBorder="1" applyAlignment="1">
      <alignment horizontal="left" vertical="center" wrapText="1"/>
    </xf>
    <xf numFmtId="43" fontId="7" fillId="0" borderId="7" xfId="1" applyFont="1" applyFill="1" applyBorder="1"/>
    <xf numFmtId="0" fontId="22" fillId="0" borderId="1" xfId="0" applyFont="1" applyFill="1" applyBorder="1" applyAlignment="1">
      <alignment horizontal="left"/>
    </xf>
    <xf numFmtId="0" fontId="22" fillId="0" borderId="1" xfId="0" applyFont="1" applyFill="1" applyBorder="1"/>
    <xf numFmtId="0" fontId="27" fillId="0" borderId="1" xfId="0" applyFont="1" applyFill="1" applyBorder="1" applyAlignment="1">
      <alignment horizontal="center" vertical="center" wrapText="1"/>
    </xf>
    <xf numFmtId="43" fontId="22" fillId="0" borderId="1" xfId="1" applyFont="1" applyFill="1" applyBorder="1"/>
    <xf numFmtId="0" fontId="22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right" vertical="center" wrapText="1"/>
    </xf>
    <xf numFmtId="43" fontId="27" fillId="0" borderId="1" xfId="1" applyFont="1" applyFill="1" applyBorder="1"/>
    <xf numFmtId="0" fontId="27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top" wrapText="1"/>
    </xf>
    <xf numFmtId="43" fontId="22" fillId="0" borderId="1" xfId="4" applyNumberFormat="1" applyFont="1" applyFill="1" applyBorder="1"/>
    <xf numFmtId="0" fontId="22" fillId="0" borderId="7" xfId="0" applyFont="1" applyFill="1" applyBorder="1"/>
    <xf numFmtId="0" fontId="22" fillId="0" borderId="7" xfId="0" applyFont="1" applyFill="1" applyBorder="1" applyAlignment="1">
      <alignment horizontal="left" vertical="center" wrapText="1"/>
    </xf>
    <xf numFmtId="43" fontId="22" fillId="0" borderId="7" xfId="1" applyFont="1" applyFill="1" applyBorder="1"/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2" fillId="0" borderId="1" xfId="0" applyFont="1" applyFill="1" applyBorder="1" applyAlignment="1">
      <alignment wrapText="1"/>
    </xf>
    <xf numFmtId="0" fontId="22" fillId="0" borderId="1" xfId="0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center"/>
    </xf>
    <xf numFmtId="49" fontId="22" fillId="0" borderId="1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horizontal="left"/>
    </xf>
    <xf numFmtId="0" fontId="27" fillId="0" borderId="1" xfId="0" applyFont="1" applyFill="1" applyBorder="1"/>
    <xf numFmtId="0" fontId="27" fillId="0" borderId="1" xfId="0" applyFont="1" applyFill="1" applyBorder="1" applyAlignment="1">
      <alignment horizontal="left" wrapText="1"/>
    </xf>
    <xf numFmtId="0" fontId="27" fillId="0" borderId="0" xfId="0" applyFont="1" applyFill="1"/>
    <xf numFmtId="0" fontId="27" fillId="0" borderId="0" xfId="0" applyFont="1" applyFill="1" applyAlignment="1">
      <alignment horizontal="left" wrapText="1"/>
    </xf>
    <xf numFmtId="0" fontId="23" fillId="0" borderId="0" xfId="5" applyFont="1" applyFill="1" applyBorder="1" applyAlignment="1">
      <alignment horizontal="center"/>
    </xf>
    <xf numFmtId="0" fontId="26" fillId="0" borderId="4" xfId="0" applyFont="1" applyFill="1" applyBorder="1" applyAlignment="1"/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/>
    <xf numFmtId="0" fontId="27" fillId="0" borderId="0" xfId="0" applyFont="1" applyFill="1" applyBorder="1" applyAlignment="1">
      <alignment horizontal="left" wrapText="1"/>
    </xf>
    <xf numFmtId="43" fontId="27" fillId="0" borderId="0" xfId="1" applyFont="1" applyFill="1" applyBorder="1"/>
    <xf numFmtId="43" fontId="22" fillId="0" borderId="1" xfId="1" applyFont="1" applyFill="1" applyBorder="1" applyAlignment="1">
      <alignment horizontal="center"/>
    </xf>
    <xf numFmtId="0" fontId="25" fillId="0" borderId="1" xfId="0" applyFont="1" applyFill="1" applyBorder="1" applyAlignment="1">
      <alignment horizontal="left"/>
    </xf>
    <xf numFmtId="0" fontId="25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center"/>
    </xf>
    <xf numFmtId="49" fontId="23" fillId="0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/>
    <xf numFmtId="0" fontId="25" fillId="0" borderId="1" xfId="0" applyFont="1" applyFill="1" applyBorder="1"/>
    <xf numFmtId="0" fontId="25" fillId="0" borderId="0" xfId="0" applyFont="1" applyFill="1"/>
    <xf numFmtId="0" fontId="25" fillId="0" borderId="1" xfId="0" applyFont="1" applyFill="1" applyBorder="1" applyAlignment="1">
      <alignment horizontal="center"/>
    </xf>
    <xf numFmtId="0" fontId="27" fillId="0" borderId="0" xfId="0" applyFont="1" applyFill="1" applyAlignment="1">
      <alignment horizontal="left"/>
    </xf>
    <xf numFmtId="0" fontId="28" fillId="0" borderId="1" xfId="0" applyFont="1" applyFill="1" applyBorder="1" applyAlignment="1">
      <alignment horizontal="center"/>
    </xf>
    <xf numFmtId="49" fontId="28" fillId="0" borderId="1" xfId="0" applyNumberFormat="1" applyFont="1" applyFill="1" applyBorder="1" applyAlignment="1">
      <alignment horizontal="center"/>
    </xf>
    <xf numFmtId="49" fontId="22" fillId="0" borderId="1" xfId="0" applyNumberFormat="1" applyFont="1" applyFill="1" applyBorder="1"/>
    <xf numFmtId="0" fontId="22" fillId="0" borderId="0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left" vertical="top" wrapText="1"/>
    </xf>
    <xf numFmtId="0" fontId="23" fillId="0" borderId="7" xfId="0" applyFont="1" applyFill="1" applyBorder="1"/>
    <xf numFmtId="0" fontId="23" fillId="0" borderId="7" xfId="0" applyFont="1" applyFill="1" applyBorder="1" applyAlignment="1">
      <alignment horizontal="left" vertical="top" wrapText="1"/>
    </xf>
    <xf numFmtId="0" fontId="23" fillId="0" borderId="0" xfId="0" applyFont="1" applyFill="1" applyBorder="1"/>
    <xf numFmtId="0" fontId="23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/>
    <xf numFmtId="43" fontId="0" fillId="0" borderId="0" xfId="1" applyFont="1" applyFill="1" applyBorder="1"/>
    <xf numFmtId="4" fontId="0" fillId="0" borderId="1" xfId="1" applyNumberFormat="1" applyFont="1" applyFill="1" applyBorder="1"/>
    <xf numFmtId="43" fontId="0" fillId="0" borderId="1" xfId="1" applyFont="1" applyFill="1" applyBorder="1" applyAlignment="1"/>
    <xf numFmtId="43" fontId="3" fillId="0" borderId="1" xfId="1" applyFont="1" applyFill="1" applyBorder="1"/>
    <xf numFmtId="4" fontId="1" fillId="0" borderId="1" xfId="1" applyNumberFormat="1" applyFont="1" applyFill="1" applyBorder="1"/>
    <xf numFmtId="43" fontId="0" fillId="0" borderId="0" xfId="1" applyFont="1" applyFill="1"/>
    <xf numFmtId="43" fontId="2" fillId="0" borderId="0" xfId="1" applyFont="1" applyFill="1" applyBorder="1"/>
    <xf numFmtId="4" fontId="3" fillId="0" borderId="1" xfId="1" applyNumberFormat="1" applyFont="1" applyFill="1" applyBorder="1"/>
    <xf numFmtId="43" fontId="1" fillId="0" borderId="1" xfId="1" applyFont="1" applyFill="1" applyBorder="1" applyAlignment="1">
      <alignment horizontal="center"/>
    </xf>
    <xf numFmtId="43" fontId="0" fillId="0" borderId="1" xfId="1" applyFont="1" applyFill="1" applyBorder="1" applyAlignment="1">
      <alignment horizontal="left"/>
    </xf>
    <xf numFmtId="43" fontId="1" fillId="0" borderId="1" xfId="1" applyFont="1" applyFill="1" applyBorder="1" applyAlignment="1">
      <alignment horizontal="right"/>
    </xf>
    <xf numFmtId="164" fontId="2" fillId="0" borderId="0" xfId="0" applyNumberFormat="1" applyFont="1" applyFill="1"/>
    <xf numFmtId="43" fontId="2" fillId="0" borderId="0" xfId="1" applyFont="1" applyFill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left"/>
    </xf>
    <xf numFmtId="43" fontId="2" fillId="0" borderId="1" xfId="1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1" xfId="0" applyFill="1" applyBorder="1"/>
    <xf numFmtId="49" fontId="2" fillId="0" borderId="1" xfId="0" applyNumberFormat="1" applyFont="1" applyFill="1" applyBorder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/>
    <xf numFmtId="49" fontId="0" fillId="0" borderId="1" xfId="0" applyNumberFormat="1" applyFill="1" applyBorder="1" applyAlignment="1"/>
    <xf numFmtId="49" fontId="0" fillId="0" borderId="1" xfId="0" applyNumberFormat="1" applyFont="1" applyFill="1" applyBorder="1" applyAlignment="1"/>
    <xf numFmtId="49" fontId="2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5" fillId="0" borderId="1" xfId="1" applyFont="1" applyFill="1" applyBorder="1"/>
    <xf numFmtId="49" fontId="19" fillId="0" borderId="0" xfId="0" applyNumberFormat="1" applyFont="1" applyAlignment="1"/>
    <xf numFmtId="49" fontId="0" fillId="0" borderId="0" xfId="0" applyNumberFormat="1" applyFont="1" applyBorder="1"/>
    <xf numFmtId="49" fontId="2" fillId="0" borderId="1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/>
    <xf numFmtId="49" fontId="0" fillId="0" borderId="1" xfId="0" applyNumberFormat="1" applyFont="1" applyFill="1" applyBorder="1"/>
    <xf numFmtId="49" fontId="0" fillId="0" borderId="6" xfId="0" applyNumberFormat="1" applyFont="1" applyFill="1" applyBorder="1"/>
    <xf numFmtId="49" fontId="0" fillId="0" borderId="1" xfId="1" applyNumberFormat="1" applyFont="1" applyFill="1" applyBorder="1"/>
    <xf numFmtId="49" fontId="0" fillId="0" borderId="1" xfId="0" applyNumberFormat="1" applyFont="1" applyFill="1" applyBorder="1" applyAlignment="1">
      <alignment horizontal="left"/>
    </xf>
    <xf numFmtId="49" fontId="17" fillId="0" borderId="0" xfId="0" applyNumberFormat="1" applyFont="1" applyFill="1"/>
    <xf numFmtId="49" fontId="2" fillId="0" borderId="0" xfId="0" applyNumberFormat="1" applyFont="1" applyFill="1" applyBorder="1"/>
    <xf numFmtId="49" fontId="2" fillId="0" borderId="1" xfId="0" applyNumberFormat="1" applyFont="1" applyFill="1" applyBorder="1" applyAlignment="1">
      <alignment wrapText="1"/>
    </xf>
    <xf numFmtId="49" fontId="0" fillId="0" borderId="0" xfId="0" applyNumberFormat="1" applyFill="1"/>
    <xf numFmtId="49" fontId="2" fillId="0" borderId="0" xfId="0" applyNumberFormat="1" applyFont="1" applyFill="1"/>
    <xf numFmtId="43" fontId="27" fillId="0" borderId="0" xfId="1" applyFont="1" applyFill="1"/>
    <xf numFmtId="0" fontId="2" fillId="0" borderId="0" xfId="0" applyFont="1" applyFill="1" applyBorder="1"/>
    <xf numFmtId="49" fontId="2" fillId="0" borderId="0" xfId="0" applyNumberFormat="1" applyFont="1"/>
    <xf numFmtId="0" fontId="2" fillId="5" borderId="0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43" fontId="0" fillId="5" borderId="1" xfId="1" applyNumberFormat="1" applyFont="1" applyFill="1" applyBorder="1" applyAlignment="1">
      <alignment horizontal="right" wrapText="1"/>
    </xf>
    <xf numFmtId="43" fontId="2" fillId="5" borderId="1" xfId="0" applyNumberFormat="1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center" wrapText="1"/>
    </xf>
    <xf numFmtId="43" fontId="2" fillId="5" borderId="0" xfId="0" applyNumberFormat="1" applyFont="1" applyFill="1" applyBorder="1" applyAlignment="1">
      <alignment horizontal="center" wrapText="1"/>
    </xf>
    <xf numFmtId="41" fontId="0" fillId="5" borderId="4" xfId="0" applyNumberFormat="1" applyFont="1" applyFill="1" applyBorder="1"/>
    <xf numFmtId="43" fontId="0" fillId="5" borderId="1" xfId="1" applyNumberFormat="1" applyFont="1" applyFill="1" applyBorder="1" applyAlignment="1">
      <alignment horizontal="right"/>
    </xf>
    <xf numFmtId="167" fontId="2" fillId="5" borderId="1" xfId="1" applyNumberFormat="1" applyFont="1" applyFill="1" applyBorder="1"/>
    <xf numFmtId="41" fontId="2" fillId="5" borderId="7" xfId="1" applyNumberFormat="1" applyFont="1" applyFill="1" applyBorder="1"/>
    <xf numFmtId="41" fontId="2" fillId="5" borderId="0" xfId="1" applyNumberFormat="1" applyFont="1" applyFill="1" applyBorder="1"/>
    <xf numFmtId="167" fontId="0" fillId="5" borderId="1" xfId="0" applyNumberFormat="1" applyFont="1" applyFill="1" applyBorder="1"/>
    <xf numFmtId="0" fontId="0" fillId="5" borderId="0" xfId="0" applyFont="1" applyFill="1"/>
    <xf numFmtId="43" fontId="22" fillId="0" borderId="1" xfId="0" applyNumberFormat="1" applyFont="1" applyFill="1" applyBorder="1" applyAlignment="1">
      <alignment horizontal="center"/>
    </xf>
    <xf numFmtId="43" fontId="22" fillId="0" borderId="2" xfId="1" applyFont="1" applyFill="1" applyBorder="1"/>
    <xf numFmtId="43" fontId="23" fillId="0" borderId="2" xfId="1" applyFont="1" applyFill="1" applyBorder="1"/>
    <xf numFmtId="165" fontId="22" fillId="0" borderId="1" xfId="1" applyNumberFormat="1" applyFont="1" applyFill="1" applyBorder="1"/>
    <xf numFmtId="165" fontId="22" fillId="0" borderId="1" xfId="1" applyNumberFormat="1" applyFont="1" applyFill="1" applyBorder="1" applyAlignment="1">
      <alignment horizontal="center"/>
    </xf>
    <xf numFmtId="43" fontId="29" fillId="0" borderId="1" xfId="1" applyFont="1" applyFill="1" applyBorder="1"/>
    <xf numFmtId="0" fontId="35" fillId="0" borderId="1" xfId="0" applyFont="1" applyFill="1" applyBorder="1" applyAlignment="1">
      <alignment horizontal="left" wrapText="1"/>
    </xf>
    <xf numFmtId="166" fontId="0" fillId="0" borderId="1" xfId="0" applyNumberFormat="1" applyFont="1" applyBorder="1"/>
    <xf numFmtId="166" fontId="2" fillId="0" borderId="1" xfId="1" applyNumberFormat="1" applyFont="1" applyBorder="1"/>
    <xf numFmtId="166" fontId="1" fillId="0" borderId="1" xfId="1" applyNumberFormat="1" applyFont="1" applyBorder="1"/>
    <xf numFmtId="166" fontId="11" fillId="0" borderId="1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vertical="center" wrapText="1"/>
    </xf>
    <xf numFmtId="166" fontId="0" fillId="0" borderId="1" xfId="0" applyNumberFormat="1" applyFont="1" applyBorder="1" applyAlignment="1">
      <alignment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wrapText="1"/>
    </xf>
    <xf numFmtId="166" fontId="2" fillId="0" borderId="1" xfId="0" applyNumberFormat="1" applyFont="1" applyBorder="1"/>
    <xf numFmtId="165" fontId="0" fillId="0" borderId="0" xfId="1" applyNumberFormat="1" applyFont="1" applyFill="1" applyBorder="1"/>
    <xf numFmtId="165" fontId="1" fillId="0" borderId="1" xfId="1" applyNumberFormat="1" applyFont="1" applyFill="1" applyBorder="1"/>
    <xf numFmtId="165" fontId="0" fillId="0" borderId="1" xfId="1" applyNumberFormat="1" applyFont="1" applyFill="1" applyBorder="1" applyAlignment="1"/>
    <xf numFmtId="165" fontId="2" fillId="0" borderId="0" xfId="1" applyNumberFormat="1" applyFont="1" applyFill="1" applyBorder="1"/>
    <xf numFmtId="165" fontId="2" fillId="0" borderId="10" xfId="1" applyNumberFormat="1" applyFont="1" applyFill="1" applyBorder="1"/>
    <xf numFmtId="165" fontId="0" fillId="0" borderId="1" xfId="1" applyNumberFormat="1" applyFont="1" applyFill="1" applyBorder="1" applyAlignment="1">
      <alignment horizontal="left"/>
    </xf>
    <xf numFmtId="165" fontId="1" fillId="0" borderId="1" xfId="1" applyNumberFormat="1" applyFont="1" applyFill="1" applyBorder="1" applyAlignment="1"/>
    <xf numFmtId="165" fontId="0" fillId="0" borderId="0" xfId="0" applyNumberFormat="1" applyFill="1"/>
    <xf numFmtId="165" fontId="2" fillId="0" borderId="0" xfId="1" applyNumberFormat="1" applyFont="1" applyFill="1"/>
    <xf numFmtId="165" fontId="2" fillId="0" borderId="1" xfId="1" applyNumberFormat="1" applyFont="1" applyFill="1" applyBorder="1" applyAlignment="1">
      <alignment horizontal="center"/>
    </xf>
    <xf numFmtId="165" fontId="5" fillId="0" borderId="1" xfId="1" applyNumberFormat="1" applyFont="1" applyFill="1" applyBorder="1"/>
    <xf numFmtId="43" fontId="3" fillId="0" borderId="1" xfId="1" applyNumberFormat="1" applyFont="1" applyBorder="1" applyAlignment="1">
      <alignment wrapText="1"/>
    </xf>
    <xf numFmtId="43" fontId="5" fillId="0" borderId="1" xfId="1" applyNumberFormat="1" applyFont="1" applyBorder="1" applyAlignment="1">
      <alignment wrapText="1"/>
    </xf>
    <xf numFmtId="43" fontId="3" fillId="0" borderId="0" xfId="1" applyNumberFormat="1" applyFont="1" applyAlignment="1">
      <alignment wrapText="1"/>
    </xf>
    <xf numFmtId="43" fontId="5" fillId="0" borderId="0" xfId="1" applyNumberFormat="1" applyFont="1" applyAlignment="1">
      <alignment wrapText="1"/>
    </xf>
    <xf numFmtId="165" fontId="2" fillId="0" borderId="13" xfId="1" applyNumberFormat="1" applyFont="1" applyFill="1" applyBorder="1" applyAlignment="1">
      <alignment vertical="center" wrapText="1"/>
    </xf>
    <xf numFmtId="165" fontId="1" fillId="0" borderId="6" xfId="1" applyNumberFormat="1" applyFont="1" applyFill="1" applyBorder="1" applyAlignment="1">
      <alignment vertical="center" wrapText="1"/>
    </xf>
    <xf numFmtId="165" fontId="1" fillId="0" borderId="1" xfId="1" applyNumberFormat="1" applyFont="1" applyFill="1" applyBorder="1" applyAlignment="1">
      <alignment wrapText="1"/>
    </xf>
    <xf numFmtId="165" fontId="0" fillId="0" borderId="1" xfId="0" applyNumberFormat="1" applyFont="1" applyFill="1" applyBorder="1"/>
    <xf numFmtId="43" fontId="1" fillId="0" borderId="0" xfId="1" applyFont="1" applyFill="1"/>
    <xf numFmtId="49" fontId="2" fillId="0" borderId="1" xfId="0" applyNumberFormat="1" applyFont="1" applyFill="1" applyBorder="1" applyAlignment="1">
      <alignment horizontal="center" vertical="center"/>
    </xf>
    <xf numFmtId="43" fontId="5" fillId="0" borderId="1" xfId="1" applyNumberFormat="1" applyFont="1" applyBorder="1" applyAlignment="1">
      <alignment horizontal="center" vertical="center" wrapText="1"/>
    </xf>
    <xf numFmtId="43" fontId="0" fillId="0" borderId="1" xfId="0" applyNumberFormat="1" applyFont="1" applyFill="1" applyBorder="1"/>
    <xf numFmtId="43" fontId="0" fillId="0" borderId="1" xfId="0" applyNumberFormat="1" applyFont="1" applyBorder="1"/>
    <xf numFmtId="43" fontId="3" fillId="0" borderId="0" xfId="1" applyNumberFormat="1" applyFont="1"/>
    <xf numFmtId="43" fontId="0" fillId="0" borderId="0" xfId="1" applyNumberFormat="1" applyFont="1" applyBorder="1" applyAlignment="1">
      <alignment wrapText="1"/>
    </xf>
    <xf numFmtId="43" fontId="2" fillId="0" borderId="1" xfId="1" applyNumberFormat="1" applyFont="1" applyBorder="1" applyAlignment="1">
      <alignment horizontal="center" vertical="center" wrapText="1"/>
    </xf>
    <xf numFmtId="43" fontId="0" fillId="0" borderId="1" xfId="1" applyNumberFormat="1" applyFont="1" applyBorder="1" applyAlignment="1">
      <alignment wrapText="1"/>
    </xf>
    <xf numFmtId="43" fontId="2" fillId="0" borderId="1" xfId="1" applyNumberFormat="1" applyFont="1" applyBorder="1" applyAlignment="1">
      <alignment wrapText="1"/>
    </xf>
    <xf numFmtId="164" fontId="22" fillId="0" borderId="1" xfId="0" applyNumberFormat="1" applyFont="1" applyFill="1" applyBorder="1" applyAlignment="1">
      <alignment horizontal="left"/>
    </xf>
    <xf numFmtId="0" fontId="25" fillId="0" borderId="1" xfId="0" applyFont="1" applyFill="1" applyBorder="1" applyAlignment="1">
      <alignment horizontal="left" vertical="top" wrapText="1"/>
    </xf>
    <xf numFmtId="49" fontId="4" fillId="0" borderId="0" xfId="0" applyNumberFormat="1" applyFont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43" fontId="4" fillId="0" borderId="0" xfId="1" applyFont="1" applyFill="1" applyBorder="1"/>
    <xf numFmtId="165" fontId="4" fillId="0" borderId="0" xfId="1" applyNumberFormat="1" applyFont="1" applyFill="1" applyBorder="1"/>
    <xf numFmtId="0" fontId="0" fillId="0" borderId="1" xfId="0" applyFont="1" applyFill="1" applyBorder="1" applyAlignment="1">
      <alignment wrapText="1"/>
    </xf>
    <xf numFmtId="0" fontId="36" fillId="0" borderId="0" xfId="0" applyFont="1" applyFill="1" applyBorder="1" applyAlignment="1">
      <alignment horizontal="left" wrapText="1"/>
    </xf>
    <xf numFmtId="43" fontId="27" fillId="0" borderId="1" xfId="3" applyNumberFormat="1" applyFont="1" applyFill="1" applyBorder="1"/>
    <xf numFmtId="164" fontId="27" fillId="0" borderId="0" xfId="0" applyNumberFormat="1" applyFont="1" applyFill="1" applyBorder="1" applyAlignment="1">
      <alignment horizontal="left" wrapText="1"/>
    </xf>
    <xf numFmtId="9" fontId="2" fillId="0" borderId="0" xfId="6" applyFont="1" applyFill="1" applyBorder="1"/>
    <xf numFmtId="165" fontId="0" fillId="0" borderId="0" xfId="0" applyNumberFormat="1" applyFont="1" applyFill="1" applyBorder="1" applyAlignment="1">
      <alignment horizontal="left"/>
    </xf>
    <xf numFmtId="0" fontId="3" fillId="0" borderId="1" xfId="0" applyFont="1" applyFill="1" applyBorder="1"/>
    <xf numFmtId="164" fontId="3" fillId="0" borderId="8" xfId="1" applyNumberFormat="1" applyFont="1" applyFill="1" applyBorder="1"/>
    <xf numFmtId="43" fontId="3" fillId="0" borderId="1" xfId="1" applyNumberFormat="1" applyFont="1" applyFill="1" applyBorder="1" applyAlignment="1">
      <alignment wrapText="1"/>
    </xf>
    <xf numFmtId="0" fontId="3" fillId="0" borderId="0" xfId="0" applyFont="1" applyFill="1"/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43" fontId="5" fillId="0" borderId="1" xfId="1" applyNumberFormat="1" applyFont="1" applyFill="1" applyBorder="1"/>
    <xf numFmtId="0" fontId="22" fillId="0" borderId="0" xfId="3" applyFont="1" applyFill="1" applyBorder="1" applyAlignment="1">
      <alignment horizontal="center"/>
    </xf>
    <xf numFmtId="0" fontId="22" fillId="0" borderId="4" xfId="3" applyFont="1" applyFill="1" applyBorder="1" applyAlignment="1">
      <alignment horizontal="center"/>
    </xf>
    <xf numFmtId="43" fontId="25" fillId="0" borderId="1" xfId="1" applyFont="1" applyFill="1" applyBorder="1" applyAlignment="1">
      <alignment horizontal="center" vertical="center" wrapText="1"/>
    </xf>
    <xf numFmtId="43" fontId="27" fillId="0" borderId="1" xfId="3" applyNumberFormat="1" applyFont="1" applyFill="1" applyBorder="1" applyAlignment="1">
      <alignment horizontal="center" vertical="center"/>
    </xf>
    <xf numFmtId="43" fontId="22" fillId="0" borderId="1" xfId="3" applyNumberFormat="1" applyFont="1" applyFill="1" applyBorder="1"/>
    <xf numFmtId="43" fontId="22" fillId="0" borderId="1" xfId="5" applyNumberFormat="1" applyFont="1" applyFill="1" applyBorder="1"/>
    <xf numFmtId="43" fontId="22" fillId="0" borderId="7" xfId="3" applyNumberFormat="1" applyFont="1" applyFill="1" applyBorder="1"/>
    <xf numFmtId="43" fontId="22" fillId="0" borderId="0" xfId="1" applyFont="1" applyFill="1" applyBorder="1" applyAlignment="1">
      <alignment horizontal="center"/>
    </xf>
    <xf numFmtId="43" fontId="22" fillId="0" borderId="0" xfId="3" applyNumberFormat="1" applyFont="1" applyFill="1"/>
    <xf numFmtId="43" fontId="27" fillId="0" borderId="12" xfId="1" applyFont="1" applyFill="1" applyBorder="1"/>
    <xf numFmtId="43" fontId="27" fillId="0" borderId="0" xfId="3" applyNumberFormat="1" applyFont="1" applyFill="1"/>
    <xf numFmtId="0" fontId="27" fillId="0" borderId="4" xfId="0" applyFont="1" applyFill="1" applyBorder="1" applyAlignment="1"/>
    <xf numFmtId="43" fontId="27" fillId="0" borderId="4" xfId="1" applyFont="1" applyFill="1" applyBorder="1"/>
    <xf numFmtId="43" fontId="22" fillId="0" borderId="0" xfId="3" applyNumberFormat="1" applyFont="1" applyFill="1" applyBorder="1"/>
    <xf numFmtId="43" fontId="22" fillId="0" borderId="0" xfId="1" applyFont="1" applyFill="1" applyBorder="1"/>
    <xf numFmtId="43" fontId="22" fillId="0" borderId="4" xfId="1" applyFont="1" applyFill="1" applyBorder="1"/>
    <xf numFmtId="43" fontId="27" fillId="0" borderId="0" xfId="3" applyNumberFormat="1" applyFont="1" applyFill="1" applyBorder="1"/>
    <xf numFmtId="43" fontId="23" fillId="0" borderId="7" xfId="1" applyFont="1" applyFill="1" applyBorder="1"/>
    <xf numFmtId="43" fontId="23" fillId="0" borderId="0" xfId="1" applyFont="1" applyFill="1" applyBorder="1"/>
    <xf numFmtId="0" fontId="25" fillId="0" borderId="1" xfId="0" applyFont="1" applyFill="1" applyBorder="1" applyAlignment="1">
      <alignment horizontal="center" vertical="center" wrapText="1"/>
    </xf>
    <xf numFmtId="164" fontId="27" fillId="0" borderId="1" xfId="0" applyNumberFormat="1" applyFont="1" applyFill="1" applyBorder="1" applyAlignment="1">
      <alignment horizontal="left"/>
    </xf>
    <xf numFmtId="165" fontId="29" fillId="0" borderId="1" xfId="1" applyNumberFormat="1" applyFont="1" applyFill="1" applyBorder="1"/>
    <xf numFmtId="0" fontId="22" fillId="0" borderId="1" xfId="5" applyFont="1" applyFill="1" applyBorder="1" applyAlignment="1">
      <alignment horizontal="left" wrapText="1"/>
    </xf>
    <xf numFmtId="0" fontId="29" fillId="0" borderId="1" xfId="0" applyFont="1" applyFill="1" applyBorder="1" applyAlignment="1">
      <alignment wrapText="1"/>
    </xf>
    <xf numFmtId="0" fontId="29" fillId="0" borderId="1" xfId="0" applyFont="1" applyFill="1" applyBorder="1"/>
    <xf numFmtId="165" fontId="29" fillId="0" borderId="1" xfId="0" applyNumberFormat="1" applyFont="1" applyFill="1" applyBorder="1"/>
    <xf numFmtId="165" fontId="30" fillId="0" borderId="1" xfId="0" applyNumberFormat="1" applyFont="1" applyFill="1" applyBorder="1"/>
    <xf numFmtId="43" fontId="23" fillId="0" borderId="1" xfId="3" applyNumberFormat="1" applyFont="1" applyFill="1" applyBorder="1"/>
    <xf numFmtId="165" fontId="29" fillId="0" borderId="1" xfId="1" applyNumberFormat="1" applyFont="1" applyFill="1" applyBorder="1" applyAlignment="1">
      <alignment horizontal="right"/>
    </xf>
    <xf numFmtId="0" fontId="31" fillId="0" borderId="1" xfId="0" applyFont="1" applyFill="1" applyBorder="1" applyAlignment="1">
      <alignment vertical="center" wrapText="1"/>
    </xf>
    <xf numFmtId="43" fontId="31" fillId="0" borderId="1" xfId="1" applyFont="1" applyFill="1" applyBorder="1" applyAlignment="1">
      <alignment vertical="center"/>
    </xf>
    <xf numFmtId="0" fontId="29" fillId="0" borderId="1" xfId="0" applyFont="1" applyFill="1" applyBorder="1" applyAlignment="1">
      <alignment horizontal="justify" vertical="center"/>
    </xf>
    <xf numFmtId="0" fontId="29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justify" vertical="center"/>
    </xf>
    <xf numFmtId="0" fontId="33" fillId="0" borderId="1" xfId="0" applyFont="1" applyFill="1" applyBorder="1"/>
    <xf numFmtId="0" fontId="34" fillId="0" borderId="1" xfId="0" applyFont="1" applyFill="1" applyBorder="1" applyAlignment="1">
      <alignment wrapText="1"/>
    </xf>
    <xf numFmtId="0" fontId="33" fillId="0" borderId="1" xfId="0" applyFont="1" applyFill="1" applyBorder="1" applyAlignment="1">
      <alignment wrapText="1"/>
    </xf>
    <xf numFmtId="0" fontId="33" fillId="0" borderId="1" xfId="0" applyFont="1" applyFill="1" applyBorder="1" applyAlignment="1">
      <alignment horizontal="left" wrapText="1"/>
    </xf>
    <xf numFmtId="165" fontId="22" fillId="0" borderId="1" xfId="3" applyNumberFormat="1" applyFont="1" applyFill="1" applyBorder="1"/>
    <xf numFmtId="165" fontId="33" fillId="0" borderId="1" xfId="1" applyNumberFormat="1" applyFont="1" applyFill="1" applyBorder="1" applyAlignment="1">
      <alignment vertical="top"/>
    </xf>
    <xf numFmtId="165" fontId="34" fillId="0" borderId="1" xfId="0" applyNumberFormat="1" applyFont="1" applyFill="1" applyBorder="1" applyAlignment="1">
      <alignment vertical="top"/>
    </xf>
    <xf numFmtId="43" fontId="2" fillId="0" borderId="1" xfId="1" applyFont="1" applyFill="1" applyBorder="1" applyAlignment="1">
      <alignment wrapText="1"/>
    </xf>
    <xf numFmtId="43" fontId="2" fillId="0" borderId="1" xfId="1" applyFont="1" applyFill="1" applyBorder="1" applyAlignment="1">
      <alignment horizontal="center" wrapText="1"/>
    </xf>
    <xf numFmtId="0" fontId="1" fillId="0" borderId="1" xfId="1" applyNumberFormat="1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2" fillId="0" borderId="6" xfId="1" applyNumberFormat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wrapText="1"/>
    </xf>
    <xf numFmtId="43" fontId="0" fillId="0" borderId="1" xfId="1" applyFont="1" applyFill="1" applyBorder="1" applyAlignment="1">
      <alignment wrapText="1"/>
    </xf>
    <xf numFmtId="165" fontId="1" fillId="0" borderId="1" xfId="1" applyNumberFormat="1" applyFont="1" applyFill="1" applyBorder="1" applyAlignment="1">
      <alignment horizontal="center"/>
    </xf>
    <xf numFmtId="165" fontId="2" fillId="0" borderId="1" xfId="0" applyNumberFormat="1" applyFont="1" applyFill="1" applyBorder="1"/>
    <xf numFmtId="43" fontId="1" fillId="0" borderId="1" xfId="1" applyFont="1" applyFill="1" applyBorder="1" applyAlignment="1">
      <alignment wrapText="1"/>
    </xf>
    <xf numFmtId="165" fontId="0" fillId="0" borderId="1" xfId="1" applyNumberFormat="1" applyFont="1" applyFill="1" applyBorder="1" applyAlignment="1">
      <alignment wrapText="1"/>
    </xf>
    <xf numFmtId="165" fontId="2" fillId="0" borderId="1" xfId="1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wrapText="1"/>
    </xf>
    <xf numFmtId="165" fontId="1" fillId="0" borderId="1" xfId="1" applyNumberFormat="1" applyFont="1" applyFill="1" applyBorder="1" applyAlignment="1">
      <alignment horizontal="right"/>
    </xf>
    <xf numFmtId="164" fontId="0" fillId="0" borderId="1" xfId="1" applyNumberFormat="1" applyFont="1" applyFill="1" applyBorder="1"/>
    <xf numFmtId="165" fontId="3" fillId="0" borderId="1" xfId="1" applyNumberFormat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65" fontId="0" fillId="0" borderId="1" xfId="1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wrapText="1"/>
    </xf>
    <xf numFmtId="164" fontId="0" fillId="0" borderId="0" xfId="0" applyNumberFormat="1" applyFill="1"/>
    <xf numFmtId="49" fontId="0" fillId="0" borderId="1" xfId="0" applyNumberFormat="1" applyFill="1" applyBorder="1" applyAlignment="1">
      <alignment horizontal="left"/>
    </xf>
    <xf numFmtId="164" fontId="0" fillId="0" borderId="1" xfId="1" applyNumberFormat="1" applyFont="1" applyFill="1" applyBorder="1" applyAlignment="1"/>
    <xf numFmtId="43" fontId="0" fillId="0" borderId="1" xfId="1" applyNumberFormat="1" applyFont="1" applyFill="1" applyBorder="1" applyAlignment="1">
      <alignment horizontal="right" wrapText="1"/>
    </xf>
    <xf numFmtId="43" fontId="2" fillId="0" borderId="1" xfId="0" applyNumberFormat="1" applyFont="1" applyFill="1" applyBorder="1" applyAlignment="1">
      <alignment horizontal="right" vertical="center" wrapText="1"/>
    </xf>
    <xf numFmtId="43" fontId="2" fillId="0" borderId="7" xfId="1" applyFont="1" applyFill="1" applyBorder="1" applyAlignment="1">
      <alignment horizontal="center" wrapText="1"/>
    </xf>
    <xf numFmtId="43" fontId="2" fillId="0" borderId="0" xfId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43" fontId="2" fillId="0" borderId="0" xfId="0" applyNumberFormat="1" applyFont="1" applyFill="1" applyBorder="1" applyAlignment="1">
      <alignment horizontal="center" wrapText="1"/>
    </xf>
    <xf numFmtId="41" fontId="0" fillId="0" borderId="4" xfId="0" applyNumberFormat="1" applyFont="1" applyFill="1" applyBorder="1"/>
    <xf numFmtId="43" fontId="0" fillId="0" borderId="1" xfId="1" applyNumberFormat="1" applyFont="1" applyFill="1" applyBorder="1" applyAlignment="1">
      <alignment horizontal="right"/>
    </xf>
    <xf numFmtId="167" fontId="0" fillId="0" borderId="1" xfId="1" applyNumberFormat="1" applyFont="1" applyFill="1" applyBorder="1"/>
    <xf numFmtId="41" fontId="0" fillId="0" borderId="1" xfId="0" applyNumberFormat="1" applyFont="1" applyFill="1" applyBorder="1"/>
    <xf numFmtId="167" fontId="2" fillId="0" borderId="0" xfId="1" applyNumberFormat="1" applyFont="1" applyFill="1" applyBorder="1"/>
    <xf numFmtId="41" fontId="0" fillId="0" borderId="0" xfId="0" applyNumberFormat="1" applyFont="1" applyFill="1" applyBorder="1"/>
    <xf numFmtId="41" fontId="2" fillId="0" borderId="4" xfId="0" applyNumberFormat="1" applyFont="1" applyFill="1" applyBorder="1"/>
    <xf numFmtId="167" fontId="2" fillId="0" borderId="1" xfId="0" applyNumberFormat="1" applyFont="1" applyFill="1" applyBorder="1"/>
    <xf numFmtId="0" fontId="2" fillId="0" borderId="7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3" fontId="2" fillId="0" borderId="0" xfId="1" applyFont="1" applyFill="1" applyBorder="1" applyAlignment="1">
      <alignment horizontal="right"/>
    </xf>
    <xf numFmtId="0" fontId="0" fillId="0" borderId="4" xfId="0" applyFont="1" applyFill="1" applyBorder="1" applyAlignment="1">
      <alignment horizontal="center"/>
    </xf>
    <xf numFmtId="0" fontId="9" fillId="0" borderId="4" xfId="0" applyFont="1" applyFill="1" applyBorder="1"/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165" fontId="30" fillId="0" borderId="1" xfId="1" applyNumberFormat="1" applyFont="1" applyFill="1" applyBorder="1"/>
    <xf numFmtId="0" fontId="23" fillId="0" borderId="1" xfId="0" applyFont="1" applyFill="1" applyBorder="1" applyAlignment="1">
      <alignment horizontal="left" wrapText="1"/>
    </xf>
    <xf numFmtId="49" fontId="5" fillId="0" borderId="1" xfId="0" applyNumberFormat="1" applyFont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0" fillId="0" borderId="0" xfId="0" applyBorder="1" applyAlignment="1">
      <alignment wrapText="1"/>
    </xf>
    <xf numFmtId="0" fontId="0" fillId="0" borderId="0" xfId="0" applyBorder="1"/>
    <xf numFmtId="0" fontId="37" fillId="0" borderId="0" xfId="0" applyFont="1" applyFill="1"/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19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43" fontId="2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43" fontId="22" fillId="0" borderId="2" xfId="3" applyNumberFormat="1" applyFont="1" applyFill="1" applyBorder="1"/>
    <xf numFmtId="165" fontId="2" fillId="6" borderId="1" xfId="1" applyNumberFormat="1" applyFont="1" applyFill="1" applyBorder="1"/>
    <xf numFmtId="165" fontId="3" fillId="0" borderId="0" xfId="1" applyNumberFormat="1" applyFont="1" applyFill="1"/>
    <xf numFmtId="165" fontId="5" fillId="0" borderId="0" xfId="6" applyNumberFormat="1" applyFont="1" applyFill="1"/>
    <xf numFmtId="43" fontId="0" fillId="0" borderId="0" xfId="1" applyFont="1" applyAlignment="1">
      <alignment horizontal="center" vertical="center"/>
    </xf>
    <xf numFmtId="43" fontId="3" fillId="0" borderId="0" xfId="1" applyFont="1"/>
    <xf numFmtId="43" fontId="5" fillId="0" borderId="0" xfId="1" applyFont="1"/>
    <xf numFmtId="43" fontId="3" fillId="0" borderId="0" xfId="1" applyFont="1" applyFill="1"/>
    <xf numFmtId="43" fontId="0" fillId="0" borderId="0" xfId="0" applyNumberFormat="1" applyFont="1" applyFill="1"/>
    <xf numFmtId="165" fontId="5" fillId="0" borderId="0" xfId="1" applyNumberFormat="1" applyFont="1" applyFill="1" applyBorder="1"/>
    <xf numFmtId="43" fontId="19" fillId="0" borderId="0" xfId="1" applyFont="1" applyFill="1" applyAlignment="1"/>
    <xf numFmtId="43" fontId="2" fillId="0" borderId="0" xfId="1" applyNumberFormat="1" applyFont="1" applyFill="1"/>
    <xf numFmtId="43" fontId="2" fillId="0" borderId="0" xfId="1" applyFont="1" applyAlignment="1">
      <alignment wrapText="1"/>
    </xf>
    <xf numFmtId="43" fontId="19" fillId="7" borderId="0" xfId="1" applyFont="1" applyFill="1" applyAlignment="1"/>
    <xf numFmtId="43" fontId="0" fillId="7" borderId="0" xfId="1" applyFont="1" applyFill="1" applyBorder="1"/>
    <xf numFmtId="43" fontId="2" fillId="7" borderId="1" xfId="1" applyFont="1" applyFill="1" applyBorder="1" applyAlignment="1">
      <alignment horizontal="center" vertical="center" wrapText="1"/>
    </xf>
    <xf numFmtId="165" fontId="1" fillId="7" borderId="1" xfId="1" applyNumberFormat="1" applyFont="1" applyFill="1" applyBorder="1"/>
    <xf numFmtId="165" fontId="2" fillId="7" borderId="1" xfId="1" applyNumberFormat="1" applyFont="1" applyFill="1" applyBorder="1"/>
    <xf numFmtId="165" fontId="0" fillId="7" borderId="1" xfId="1" applyNumberFormat="1" applyFont="1" applyFill="1" applyBorder="1"/>
    <xf numFmtId="165" fontId="0" fillId="7" borderId="0" xfId="1" applyNumberFormat="1" applyFont="1" applyFill="1"/>
    <xf numFmtId="43" fontId="2" fillId="7" borderId="0" xfId="1" applyFont="1" applyFill="1"/>
    <xf numFmtId="43" fontId="0" fillId="7" borderId="0" xfId="1" applyFont="1" applyFill="1"/>
    <xf numFmtId="165" fontId="2" fillId="0" borderId="1" xfId="0" applyNumberFormat="1" applyFont="1" applyFill="1" applyBorder="1" applyAlignment="1">
      <alignment horizontal="left"/>
    </xf>
    <xf numFmtId="43" fontId="0" fillId="0" borderId="0" xfId="0" applyNumberFormat="1" applyFont="1" applyFill="1" applyBorder="1" applyAlignment="1">
      <alignment horizontal="left"/>
    </xf>
    <xf numFmtId="165" fontId="2" fillId="7" borderId="0" xfId="1" applyNumberFormat="1" applyFont="1" applyFill="1" applyBorder="1"/>
    <xf numFmtId="43" fontId="2" fillId="7" borderId="0" xfId="1" applyNumberFormat="1" applyFont="1" applyFill="1"/>
    <xf numFmtId="43" fontId="27" fillId="0" borderId="0" xfId="1" applyFont="1" applyFill="1" applyBorder="1" applyAlignment="1">
      <alignment horizontal="left"/>
    </xf>
    <xf numFmtId="43" fontId="27" fillId="0" borderId="1" xfId="1" applyFont="1" applyFill="1" applyBorder="1" applyAlignment="1">
      <alignment horizontal="left"/>
    </xf>
    <xf numFmtId="164" fontId="0" fillId="0" borderId="0" xfId="0" applyNumberFormat="1" applyFont="1"/>
    <xf numFmtId="165" fontId="2" fillId="7" borderId="1" xfId="1" applyNumberFormat="1" applyFont="1" applyFill="1" applyBorder="1" applyAlignment="1">
      <alignment horizontal="center"/>
    </xf>
    <xf numFmtId="165" fontId="5" fillId="7" borderId="1" xfId="1" applyNumberFormat="1" applyFont="1" applyFill="1" applyBorder="1"/>
    <xf numFmtId="165" fontId="4" fillId="7" borderId="0" xfId="1" applyNumberFormat="1" applyFont="1" applyFill="1" applyBorder="1"/>
    <xf numFmtId="165" fontId="5" fillId="7" borderId="0" xfId="1" applyNumberFormat="1" applyFont="1" applyFill="1" applyBorder="1"/>
    <xf numFmtId="165" fontId="2" fillId="7" borderId="0" xfId="1" applyNumberFormat="1" applyFont="1" applyFill="1"/>
    <xf numFmtId="165" fontId="3" fillId="7" borderId="0" xfId="1" applyNumberFormat="1" applyFont="1" applyFill="1"/>
    <xf numFmtId="165" fontId="5" fillId="7" borderId="0" xfId="6" applyNumberFormat="1" applyFont="1" applyFill="1"/>
    <xf numFmtId="43" fontId="2" fillId="5" borderId="1" xfId="1" applyFont="1" applyFill="1" applyBorder="1" applyAlignment="1">
      <alignment horizontal="center" vertical="center" wrapText="1"/>
    </xf>
    <xf numFmtId="165" fontId="0" fillId="5" borderId="1" xfId="1" applyNumberFormat="1" applyFont="1" applyFill="1" applyBorder="1"/>
    <xf numFmtId="165" fontId="2" fillId="5" borderId="1" xfId="1" applyNumberFormat="1" applyFont="1" applyFill="1" applyBorder="1" applyAlignment="1">
      <alignment horizontal="center"/>
    </xf>
    <xf numFmtId="165" fontId="2" fillId="5" borderId="1" xfId="1" applyNumberFormat="1" applyFont="1" applyFill="1" applyBorder="1"/>
    <xf numFmtId="165" fontId="1" fillId="5" borderId="1" xfId="1" applyNumberFormat="1" applyFont="1" applyFill="1" applyBorder="1"/>
    <xf numFmtId="165" fontId="5" fillId="5" borderId="1" xfId="1" applyNumberFormat="1" applyFont="1" applyFill="1" applyBorder="1"/>
    <xf numFmtId="165" fontId="4" fillId="5" borderId="0" xfId="1" applyNumberFormat="1" applyFont="1" applyFill="1" applyBorder="1"/>
    <xf numFmtId="165" fontId="5" fillId="5" borderId="0" xfId="1" applyNumberFormat="1" applyFont="1" applyFill="1" applyBorder="1"/>
    <xf numFmtId="165" fontId="2" fillId="5" borderId="0" xfId="1" applyNumberFormat="1" applyFont="1" applyFill="1"/>
    <xf numFmtId="165" fontId="3" fillId="5" borderId="0" xfId="1" applyNumberFormat="1" applyFont="1" applyFill="1"/>
    <xf numFmtId="165" fontId="5" fillId="5" borderId="0" xfId="6" applyNumberFormat="1" applyFont="1" applyFill="1"/>
    <xf numFmtId="43" fontId="0" fillId="5" borderId="0" xfId="1" applyFont="1" applyFill="1"/>
    <xf numFmtId="43" fontId="19" fillId="5" borderId="0" xfId="1" applyFont="1" applyFill="1" applyAlignment="1"/>
    <xf numFmtId="43" fontId="0" fillId="5" borderId="0" xfId="1" applyFont="1" applyFill="1" applyBorder="1"/>
    <xf numFmtId="43" fontId="0" fillId="5" borderId="1" xfId="1" applyNumberFormat="1" applyFont="1" applyFill="1" applyBorder="1"/>
    <xf numFmtId="43" fontId="0" fillId="5" borderId="1" xfId="1" applyFont="1" applyFill="1" applyBorder="1"/>
    <xf numFmtId="165" fontId="2" fillId="5" borderId="0" xfId="1" applyNumberFormat="1" applyFont="1" applyFill="1" applyBorder="1"/>
    <xf numFmtId="165" fontId="0" fillId="5" borderId="0" xfId="1" applyNumberFormat="1" applyFont="1" applyFill="1"/>
    <xf numFmtId="43" fontId="2" fillId="5" borderId="0" xfId="1" applyNumberFormat="1" applyFont="1" applyFill="1"/>
    <xf numFmtId="43" fontId="2" fillId="5" borderId="0" xfId="1" applyFont="1" applyFill="1"/>
    <xf numFmtId="0" fontId="3" fillId="0" borderId="1" xfId="0" applyFont="1" applyBorder="1" applyAlignment="1">
      <alignment horizontal="left"/>
    </xf>
    <xf numFmtId="43" fontId="3" fillId="0" borderId="1" xfId="1" applyFont="1" applyBorder="1" applyAlignment="1">
      <alignment vertical="top"/>
    </xf>
    <xf numFmtId="168" fontId="2" fillId="0" borderId="0" xfId="1" applyNumberFormat="1" applyFont="1"/>
    <xf numFmtId="168" fontId="0" fillId="0" borderId="0" xfId="1" applyNumberFormat="1" applyFont="1"/>
    <xf numFmtId="165" fontId="0" fillId="0" borderId="10" xfId="1" applyNumberFormat="1" applyFont="1" applyFill="1" applyBorder="1"/>
    <xf numFmtId="0" fontId="0" fillId="0" borderId="0" xfId="0" applyFill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13" fillId="0" borderId="13" xfId="1" applyNumberFormat="1" applyFont="1" applyFill="1" applyBorder="1" applyAlignment="1">
      <alignment vertical="center" wrapText="1"/>
    </xf>
    <xf numFmtId="165" fontId="13" fillId="0" borderId="6" xfId="1" applyNumberFormat="1" applyFont="1" applyFill="1" applyBorder="1" applyAlignment="1">
      <alignment vertical="center" wrapText="1"/>
    </xf>
    <xf numFmtId="165" fontId="13" fillId="0" borderId="13" xfId="1" applyNumberFormat="1" applyFont="1" applyFill="1" applyBorder="1" applyAlignment="1">
      <alignment horizontal="right" vertical="center" wrapText="1"/>
    </xf>
    <xf numFmtId="165" fontId="13" fillId="0" borderId="6" xfId="1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vertical="center" wrapText="1"/>
    </xf>
    <xf numFmtId="165" fontId="0" fillId="0" borderId="1" xfId="0" applyNumberFormat="1" applyFont="1" applyFill="1" applyBorder="1" applyAlignment="1">
      <alignment vertical="center" wrapText="1"/>
    </xf>
    <xf numFmtId="165" fontId="12" fillId="0" borderId="13" xfId="1" applyNumberFormat="1" applyFont="1" applyFill="1" applyBorder="1" applyAlignment="1">
      <alignment vertical="center" wrapText="1"/>
    </xf>
    <xf numFmtId="165" fontId="12" fillId="0" borderId="6" xfId="1" applyNumberFormat="1" applyFont="1" applyFill="1" applyBorder="1" applyAlignment="1">
      <alignment vertical="center" wrapText="1"/>
    </xf>
    <xf numFmtId="165" fontId="12" fillId="0" borderId="13" xfId="1" applyNumberFormat="1" applyFont="1" applyFill="1" applyBorder="1" applyAlignment="1">
      <alignment horizontal="right" vertical="center" wrapText="1"/>
    </xf>
    <xf numFmtId="165" fontId="12" fillId="0" borderId="6" xfId="1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vertical="center" wrapText="1"/>
    </xf>
    <xf numFmtId="49" fontId="17" fillId="0" borderId="4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</cellXfs>
  <cellStyles count="7">
    <cellStyle name="Bad" xfId="4" builtinId="27"/>
    <cellStyle name="Comma" xfId="1" builtinId="3"/>
    <cellStyle name="Comma 5" xfId="2"/>
    <cellStyle name="Good" xfId="3" builtinId="26"/>
    <cellStyle name="Neutral" xfId="5" builtinId="28"/>
    <cellStyle name="Normal" xfId="0" builtinId="0"/>
    <cellStyle name="Percent" xfId="6" builtinId="5"/>
  </cellStyles>
  <dxfs count="0"/>
  <tableStyles count="0" defaultTableStyle="TableStyleMedium2" defaultPivotStyle="PivotStyleLight16"/>
  <colors>
    <mruColors>
      <color rgb="FFFFFFCC"/>
      <color rgb="FFCCFFCC"/>
      <color rgb="FFFFFF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-PC/Desktop/2017%20BUDGET/SUBMISSIONS%20FOR%202017/1%20DONE/MOAF%20MYB%20&amp;%20SIP/Agric%20MYB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-PC/Desktop/SUBMISSIONS%20FOR%202017/1%20DONE/MOAF%20MYB%20&amp;%20SIP/Agric%20MYB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9/Desktop/4th%20Draft%20ESTIMATES%202017%20new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-PC/Desktop/2017%20BUDGET/SUBMISSIONS%20FOR%202017/1%20DONE/KDMFP/KDFMP%202017%20MYZB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-PC/Desktop/SUBMISSIONS%20FOR%202017/1%20DONE/KDMFP/KDFMP%202017%20MYZB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9/Desktop/2017%20DRAFT%20REVENUE%20REVENUE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ry_data_Sheet"/>
      <sheetName val="SIP Activity Sheet"/>
      <sheetName val="Chart_of_Accounts"/>
      <sheetName val="Costing Sheet"/>
      <sheetName val="Multiyear Costed Activity Sheet"/>
      <sheetName val="Multi-Year  Budget Recurrent"/>
      <sheetName val="Multi-Year  Budget Capital"/>
      <sheetName val="Budget Information Database"/>
    </sheetNames>
    <sheetDataSet>
      <sheetData sheetId="0"/>
      <sheetData sheetId="1">
        <row r="4">
          <cell r="C4" t="str">
            <v>Provision of 250,000kg of quality seeds each of six commodities of comparative advantage (Anchor Borrowers Scheme- Central Bank of Nigeria)</v>
          </cell>
          <cell r="D4" t="str">
            <v>1.) Market Survey analysis
2.) Quality seeds Procurements
3.)  Distribution of the seeds 
4.) Planting enlightenment</v>
          </cell>
          <cell r="E4" t="str">
            <v>Agric Services Departmen</v>
          </cell>
          <cell r="G4" t="str">
            <v>Capital</v>
          </cell>
          <cell r="H4" t="str">
            <v>AGRICULTURE</v>
          </cell>
          <cell r="I4" t="str">
            <v>02101 - MAIN ENVELOP - BUDGETARY ALLOCATION</v>
          </cell>
          <cell r="J4" t="str">
            <v>ACROSS THE STATE</v>
          </cell>
        </row>
        <row r="5">
          <cell r="C5" t="str">
            <v>Collaboration with Leventis Foundation (Agric School)</v>
          </cell>
          <cell r="D5" t="str">
            <v xml:space="preserve">1.) Provide Financial Support to Leventis Foundation (Agric School) 
2.) 
3.)  
4.) </v>
          </cell>
          <cell r="E5" t="str">
            <v>Agric Services Departmen</v>
          </cell>
          <cell r="G5" t="str">
            <v>Capital</v>
          </cell>
          <cell r="H5" t="str">
            <v>AGRICULTURE</v>
          </cell>
          <cell r="I5" t="str">
            <v>02101 - MAIN ENVELOP - BUDGETARY ALLOCATION</v>
          </cell>
          <cell r="J5" t="str">
            <v>ACROSS THE STATE</v>
          </cell>
        </row>
        <row r="6">
          <cell r="C6" t="str">
            <v>Fertilizer Operation</v>
          </cell>
          <cell r="D6" t="str">
            <v xml:space="preserve">1.) Fertilizer Storage and Distribution
2.) 
3.)   
4.) </v>
          </cell>
          <cell r="E6" t="str">
            <v xml:space="preserve">AGRIC SEVICES DEPARTMENT </v>
          </cell>
          <cell r="G6" t="str">
            <v>Capital</v>
          </cell>
          <cell r="H6" t="str">
            <v>AGRICULTURE</v>
          </cell>
          <cell r="I6" t="str">
            <v>02101 - MAIN ENVELOP - BUDGETARY ALLOCATION</v>
          </cell>
          <cell r="J6" t="str">
            <v>ACROSS THE STATE</v>
          </cell>
        </row>
        <row r="7">
          <cell r="C7" t="str">
            <v xml:space="preserve">Continuous support to Agricultural Research Institutions </v>
          </cell>
          <cell r="D7" t="str">
            <v xml:space="preserve"> 1.) Institution Financial support 
2.) 
3.)   
4.) </v>
          </cell>
          <cell r="E7" t="str">
            <v>PRS</v>
          </cell>
          <cell r="G7" t="str">
            <v>Capital</v>
          </cell>
          <cell r="H7" t="str">
            <v>AGRICULTURE</v>
          </cell>
          <cell r="I7" t="str">
            <v>02101 - MAIN ENVELOP - BUDGETARY ALLOCATION</v>
          </cell>
          <cell r="J7" t="str">
            <v>ACROSS THE STATE</v>
          </cell>
        </row>
        <row r="8">
          <cell r="C8" t="str">
            <v>Participation in the National Council on Agriculture and Rural Development</v>
          </cell>
          <cell r="D8" t="str">
            <v xml:space="preserve">1.) Attend annual national council on agriculture
2.) 
3.)   
4.) </v>
          </cell>
          <cell r="E8" t="str">
            <v xml:space="preserve">PRS </v>
          </cell>
          <cell r="G8" t="str">
            <v>Recurrent_overhead</v>
          </cell>
          <cell r="H8" t="str">
            <v>AGRICULTURE</v>
          </cell>
          <cell r="I8" t="str">
            <v>02101 - MAIN ENVELOP - BUDGETARY ALLOCATION</v>
          </cell>
          <cell r="J8" t="str">
            <v>ACROSS THE STATE</v>
          </cell>
        </row>
        <row r="9">
          <cell r="C9" t="str">
            <v>Staff Capacity enhancement</v>
          </cell>
          <cell r="D9" t="str">
            <v>1.) Staff Capacity Development
2.) In House retreat and team bonding
3.) SIP Review and Budget Preparation  
4.) Competitive Service Delievary (Monthly Staff Recognition Reward)</v>
          </cell>
          <cell r="E9" t="str">
            <v>ADMIN AND FINANCE DEPARTMENT/PRS</v>
          </cell>
          <cell r="G9" t="str">
            <v>Recurrent_overhead</v>
          </cell>
          <cell r="H9" t="str">
            <v>AGRICULTURE</v>
          </cell>
          <cell r="I9" t="str">
            <v>02101 - MAIN ENVELOP - BUDGETARY ALLOCATION</v>
          </cell>
          <cell r="J9" t="str">
            <v>ACROSS THE STATE</v>
          </cell>
        </row>
        <row r="10">
          <cell r="C10" t="str">
            <v>Effective administrative operation</v>
          </cell>
          <cell r="D10" t="str">
            <v xml:space="preserve">1.) Conduct In House IT Workshop for the PAs, Registries, Technical staff
2.) Reorganisation of Directorates/registeries 
3.) Purchase of stationary
4.)  Office Routing Maintanance  </v>
          </cell>
          <cell r="E10" t="str">
            <v>ADMIN AND PRS</v>
          </cell>
          <cell r="G10" t="str">
            <v>Recurrent_overhead</v>
          </cell>
        </row>
        <row r="11">
          <cell r="C11" t="str">
            <v>Improve Service delivery</v>
          </cell>
          <cell r="D11" t="str">
            <v>1.) Staff capacity development on effective Service Delivery
2.) Monthly/Daily Routing Activities
3.) Conduct Routing Official Meeting
4.) Media Interaction</v>
          </cell>
          <cell r="E11" t="str">
            <v>ADMIN DEPARTMENT</v>
          </cell>
          <cell r="G11" t="str">
            <v>Recurrent_overhead</v>
          </cell>
        </row>
        <row r="12">
          <cell r="C12" t="str">
            <v>Advocacy and Sensitization to the Public</v>
          </cell>
          <cell r="D12" t="str">
            <v xml:space="preserve">1.) Radio charts 
2.) Media jingles
3.) Demonstration  
4.) Annoucement
  </v>
          </cell>
          <cell r="E12" t="str">
            <v>FORESTRY</v>
          </cell>
          <cell r="G12" t="str">
            <v>Capital</v>
          </cell>
          <cell r="H12" t="str">
            <v>COMMUNITY DEVELOPMENT</v>
          </cell>
          <cell r="I12" t="str">
            <v>03101 - CAPITAL DEVELOPMENT FUND</v>
          </cell>
          <cell r="J12" t="str">
            <v>ACROSS THE STATE</v>
          </cell>
        </row>
        <row r="13">
          <cell r="C13" t="str">
            <v>Shelterbelt Management</v>
          </cell>
          <cell r="D13" t="str">
            <v>1.) Nuseries Preparation/Activities
2.) Forest Management Reserves Activities
3.) Watershed Management  
4.) Woodlot/orchard</v>
          </cell>
          <cell r="E13" t="str">
            <v>FORESTRY</v>
          </cell>
          <cell r="G13" t="str">
            <v>Capital</v>
          </cell>
          <cell r="H13" t="str">
            <v>FORESTRY</v>
          </cell>
          <cell r="I13" t="str">
            <v>03101 - CAPITAL DEVELOPMENT FUND</v>
          </cell>
          <cell r="J13" t="str">
            <v>ACROSS THE STATE</v>
          </cell>
        </row>
        <row r="14">
          <cell r="C14" t="str">
            <v>Domicile GAP/GHP through Parternership/consultant</v>
          </cell>
          <cell r="D14" t="str">
            <v>1.) GAP Analysis preparation
2.) Capacity training on Good Agricultural Practices
3.)   Consultation 
4.) GAP processing</v>
          </cell>
          <cell r="E14" t="str">
            <v>Agric Services Departmen</v>
          </cell>
          <cell r="G14" t="str">
            <v>Capital</v>
          </cell>
          <cell r="H14" t="str">
            <v>AGRICULTURE</v>
          </cell>
          <cell r="I14" t="str">
            <v>02101 - MAIN ENVELOP - BUDGETARY ALLOCATION</v>
          </cell>
          <cell r="J14" t="str">
            <v>ACROSS THE STATE</v>
          </cell>
        </row>
        <row r="15">
          <cell r="C15" t="str">
            <v>Renovation of Engineering outstation/ Procurement of Agricultural Equipment</v>
          </cell>
          <cell r="D15" t="str">
            <v>1.) Premilinary 
2.) Rehabilitation of Engineering out station structures
3.)   Purchase of mechanical workshop equipments
4.) Purchase and Distribution of Handtiller machine                                               5. Sensitization/Distribution of the HTM</v>
          </cell>
          <cell r="E15" t="str">
            <v>Agriculture Engineering</v>
          </cell>
          <cell r="G15" t="str">
            <v>Capital</v>
          </cell>
          <cell r="H15" t="str">
            <v>AGRICULTURE</v>
          </cell>
          <cell r="I15" t="str">
            <v>02101 - MAIN ENVELOP - BUDGETARY ALLOCATION</v>
          </cell>
          <cell r="J15" t="str">
            <v>ACROSS THE STATE</v>
          </cell>
        </row>
        <row r="16">
          <cell r="C16" t="str">
            <v>Purchase of 3 No briquette machine</v>
          </cell>
          <cell r="D16" t="str">
            <v xml:space="preserve">1.) Preliminary Activities of Briquette Purchase
2.)  Purchase and Installation of the Briquette Machine
3.) Training/Site Demonstration of the Briquette Machine  
4.) </v>
          </cell>
          <cell r="E16" t="str">
            <v>Agriculture Engineering</v>
          </cell>
          <cell r="G16" t="str">
            <v>Capital</v>
          </cell>
          <cell r="H16" t="str">
            <v>AGRICULTURE</v>
          </cell>
          <cell r="I16" t="str">
            <v>02101 - MAIN ENVELOP - BUDGETARY ALLOCATION</v>
          </cell>
          <cell r="J16" t="str">
            <v>ACROSS THE STATE</v>
          </cell>
        </row>
        <row r="17">
          <cell r="C17" t="str">
            <v>Establishment of Meat Regulatory Agency</v>
          </cell>
          <cell r="D17" t="str">
            <v>1.) Construction of office building 
2.) Purhase of Office Equipment 
3.) Purchase of quality control Equipment 
4.) Capacity Building(Training)</v>
          </cell>
          <cell r="E17" t="str">
            <v>Veterinary and Livestock</v>
          </cell>
          <cell r="G17" t="str">
            <v>Capital</v>
          </cell>
          <cell r="H17" t="str">
            <v>AGRICULTURE</v>
          </cell>
          <cell r="I17" t="str">
            <v>02101 - MAIN ENVELOP - BUDGETARY ALLOCATION</v>
          </cell>
          <cell r="J17" t="str">
            <v>ACROSS THE STATE</v>
          </cell>
        </row>
        <row r="18">
          <cell r="C18" t="str">
            <v>Formation of Public Health Emergency Response Committee</v>
          </cell>
          <cell r="D18" t="str">
            <v>1.) Office accomodation
2.) Office Equipment
3.)  Furniture 
4.) Response to outbreaks</v>
          </cell>
          <cell r="E18" t="str">
            <v>Veterinary and Livestock</v>
          </cell>
          <cell r="G18" t="str">
            <v>Capital</v>
          </cell>
          <cell r="H18" t="str">
            <v>AGRICULTURE</v>
          </cell>
          <cell r="I18" t="str">
            <v>02101 - MAIN ENVELOP - BUDGETARY ALLOCATION</v>
          </cell>
          <cell r="J18" t="str">
            <v>ACROSS THE STATE</v>
          </cell>
        </row>
        <row r="19">
          <cell r="C19" t="str">
            <v>Purchase of 3 No cold storage facility (solar energy)</v>
          </cell>
          <cell r="D19" t="str">
            <v xml:space="preserve">1.) Preliminary Activities of Solar Powered Cold Storage facility
2.)  Purchase and Installation of Solar Powered Cold Storage facility
3.) Training/Site Demonstration of Solar Powered Cold Storage facility
4.) </v>
          </cell>
          <cell r="E19" t="str">
            <v>Agriculture Engineering</v>
          </cell>
          <cell r="G19" t="str">
            <v>Capital</v>
          </cell>
          <cell r="H19" t="str">
            <v>AGRICULTURE</v>
          </cell>
          <cell r="I19" t="str">
            <v>02101 - MAIN ENVELOP - BUDGETARY ALLOCATION</v>
          </cell>
          <cell r="J19" t="str">
            <v>ACROSS THE STATE</v>
          </cell>
        </row>
        <row r="20">
          <cell r="C20" t="str">
            <v>PPP with Ollam in the Poultry Value Chain</v>
          </cell>
          <cell r="D20" t="str">
            <v>1.) Formation of poultry Farmer's clusters
2.) Capacity Building
3.)Supervision   
4.) Logistics</v>
          </cell>
          <cell r="E20" t="str">
            <v>Veterinary and Livestock</v>
          </cell>
          <cell r="G20" t="str">
            <v>Capital</v>
          </cell>
          <cell r="H20" t="str">
            <v>AGRICULTURE</v>
          </cell>
          <cell r="I20" t="str">
            <v>02101 - MAIN ENVELOP - BUDGETARY ALLOCATION</v>
          </cell>
          <cell r="J20" t="str">
            <v>ACROSS THE STATE</v>
          </cell>
        </row>
        <row r="21">
          <cell r="C21" t="str">
            <v>Strengthen the School of Livestock Training (PPU) Kawo Kaduna</v>
          </cell>
          <cell r="D21" t="str">
            <v>1.) Construction of buildings 
2.) Purchase of Furniture
3.) Purchase of Equipment  
4.) Purchase of animals</v>
          </cell>
          <cell r="E21" t="str">
            <v>Veterinary and Livestock</v>
          </cell>
          <cell r="G21" t="str">
            <v>Capital</v>
          </cell>
          <cell r="H21" t="str">
            <v>AGRICULTURE</v>
          </cell>
          <cell r="I21" t="str">
            <v>02101 - MAIN ENVELOP - BUDGETARY ALLOCATION</v>
          </cell>
          <cell r="J21" t="str">
            <v>KACHIA</v>
          </cell>
        </row>
        <row r="22">
          <cell r="C22" t="str">
            <v>Improvement of indigenous breeds through Cross Breeding</v>
          </cell>
          <cell r="D22" t="str">
            <v>1.)  Purchase of Artificial Insemination equipment
2.) Purchase of Improved Semen
3.)Training of Inseminators  
4.) Sensitization and enlightement</v>
          </cell>
          <cell r="E22" t="str">
            <v>Veterinary and Livestock</v>
          </cell>
          <cell r="G22" t="str">
            <v>Capital</v>
          </cell>
          <cell r="H22" t="str">
            <v>AGRICULTURE</v>
          </cell>
          <cell r="I22" t="str">
            <v>02101 - MAIN ENVELOP - BUDGETARY ALLOCATION</v>
          </cell>
          <cell r="J22" t="str">
            <v>ACROSS THE STATE</v>
          </cell>
        </row>
        <row r="23">
          <cell r="C23" t="str">
            <v xml:space="preserve">Provide financial support to commodity value Chain Development </v>
          </cell>
          <cell r="D23" t="str">
            <v xml:space="preserve">1.) sensitization
2.) agricultural support loan
3.) price stabilization
4.) monitoring and evaluation
</v>
          </cell>
          <cell r="E23" t="str">
            <v>Agric Services Departmen</v>
          </cell>
          <cell r="G23" t="str">
            <v>Capital</v>
          </cell>
          <cell r="H23" t="str">
            <v>AGRICULTURE</v>
          </cell>
          <cell r="I23" t="str">
            <v>02101 - MAIN ENVELOP - BUDGETARY ALLOCATION</v>
          </cell>
          <cell r="J23" t="str">
            <v>ACROSS THE STATE</v>
          </cell>
        </row>
        <row r="24">
          <cell r="C24" t="str">
            <v>Provision of 25% Insurance Premium Subsidy toFarmers.</v>
          </cell>
          <cell r="D24" t="str">
            <v xml:space="preserve">1.)  Provision of 25% Insurance Premium Subsidy to Farmers. 
2.) 
3.)   
4.) </v>
          </cell>
          <cell r="E24" t="str">
            <v xml:space="preserve">PRS </v>
          </cell>
          <cell r="G24" t="str">
            <v>Capital</v>
          </cell>
          <cell r="H24" t="str">
            <v>AGRICULTURE</v>
          </cell>
          <cell r="I24" t="str">
            <v>02101 - MAIN ENVELOP - BUDGETARY ALLOCATION</v>
          </cell>
          <cell r="J24" t="str">
            <v>ACROSS THE STATE</v>
          </cell>
        </row>
        <row r="25">
          <cell r="C25" t="str">
            <v>Rehabilitation of State own irrigation scheme across the state</v>
          </cell>
          <cell r="D25" t="str">
            <v xml:space="preserve">1.) Premilinaries and Sensitization
2.) Development of Irrigation structures
3.)   Construction of (4.0)m width access road
4.) </v>
          </cell>
          <cell r="E25" t="str">
            <v>IRRIGATION DEPARTMENT</v>
          </cell>
          <cell r="G25" t="str">
            <v>Capital</v>
          </cell>
          <cell r="H25" t="str">
            <v>AGRICULTURE</v>
          </cell>
          <cell r="I25" t="str">
            <v>02101 - MAIN ENVELOP - BUDGETARY ALLOCATION</v>
          </cell>
          <cell r="J25" t="str">
            <v>ACROSS THE STATE</v>
          </cell>
        </row>
        <row r="26">
          <cell r="C26" t="str">
            <v>Production of Fingerlings</v>
          </cell>
          <cell r="D26" t="str">
            <v xml:space="preserve">
1.) Preliminary Survey and selection of suitable locations
2.) feasibility studies of water bodies
3.) Stocking of varieties of fish species
4.) Logistics</v>
          </cell>
          <cell r="E26" t="str">
            <v>Agric Services Departmen</v>
          </cell>
          <cell r="G26" t="str">
            <v>Capital</v>
          </cell>
          <cell r="H26" t="str">
            <v>AGRICULTURE</v>
          </cell>
          <cell r="I26" t="str">
            <v>02101 - MAIN ENVELOP - BUDGETARY ALLOCATION</v>
          </cell>
          <cell r="J26" t="str">
            <v>ACROSS THE STATE</v>
          </cell>
        </row>
        <row r="27">
          <cell r="C27" t="str">
            <v xml:space="preserve">Advocacy and sensitization </v>
          </cell>
          <cell r="D27" t="str">
            <v xml:space="preserve">1.) Sensitization on Cooperative Clusterization
2.) Advocacy Meetings on cooperative clusterization
3.)  Seminars on Cooperative Clusterization For the Cooperative Officials
4.) </v>
          </cell>
          <cell r="E27" t="str">
            <v>COOPERATIVE</v>
          </cell>
          <cell r="G27" t="str">
            <v>Capital</v>
          </cell>
          <cell r="H27" t="str">
            <v>AGRICULTURE</v>
          </cell>
          <cell r="I27" t="str">
            <v>02101 - MAIN ENVELOP - BUDGETARY ALLOCATION</v>
          </cell>
          <cell r="J27" t="str">
            <v>ACROSS THE STATE</v>
          </cell>
        </row>
        <row r="28">
          <cell r="C28" t="str">
            <v>Restructuring of Cooperative Activities</v>
          </cell>
          <cell r="D28" t="str">
            <v xml:space="preserve">1.) Redesigning and Printing of materials
2.) Purchase of Cooperative Stationaries 
3.)   
 </v>
          </cell>
          <cell r="E28" t="str">
            <v>COOPERATIVE</v>
          </cell>
          <cell r="G28" t="str">
            <v>Capital</v>
          </cell>
          <cell r="H28" t="str">
            <v>AGRICULTURE</v>
          </cell>
          <cell r="I28" t="str">
            <v>02101 - MAIN ENVELOP - BUDGETARY ALLOCATION</v>
          </cell>
          <cell r="J28" t="str">
            <v>ACROSS THE STATE</v>
          </cell>
        </row>
        <row r="29">
          <cell r="C29" t="str">
            <v>Establishment of cooperative Financing Agency</v>
          </cell>
          <cell r="D29" t="str">
            <v>1.) Enlightment Campagne on Cooperative Federation and Clusterization
2.) Set up Cooperative Commission
3.) Establish organised Cooperative Federation
4.) Cooperative staff/official Capacity building</v>
          </cell>
          <cell r="E29" t="str">
            <v>COOPERATIVE</v>
          </cell>
          <cell r="G29" t="str">
            <v>Capital</v>
          </cell>
          <cell r="H29" t="str">
            <v>AGRICULTURE</v>
          </cell>
          <cell r="I29" t="str">
            <v>02101 - MAIN ENVELOP - BUDGETARY ALLOCATION</v>
          </cell>
          <cell r="J29" t="str">
            <v>ACROSS THE STATE</v>
          </cell>
        </row>
        <row r="30">
          <cell r="C30" t="str">
            <v>Rehabilitation of cooperative institute Ikara</v>
          </cell>
          <cell r="D30" t="str">
            <v xml:space="preserve">1.)  Renovation of Building Blocks
2.) Procurement of Equipment
3.)   
4.) </v>
          </cell>
          <cell r="E30" t="str">
            <v>COOPERATIVE</v>
          </cell>
          <cell r="G30" t="str">
            <v>Capital</v>
          </cell>
          <cell r="H30" t="str">
            <v>AGRICULTURE</v>
          </cell>
          <cell r="I30" t="str">
            <v>02101 - MAIN ENVELOP - BUDGETARY ALLOCATION</v>
          </cell>
          <cell r="J30" t="str">
            <v>ACROSS THE STATE</v>
          </cell>
        </row>
        <row r="31">
          <cell r="C31" t="str">
            <v>Annual Livestock Vaccination Activities</v>
          </cell>
          <cell r="D31" t="str">
            <v>1.)  Purchase of vaccines
2.) Fueling of vehicles
3.) Immunization Campaign  
4.) Distribution of vaccines</v>
          </cell>
          <cell r="E31" t="str">
            <v>Veterinary and Livestock</v>
          </cell>
          <cell r="G31" t="str">
            <v>Capital</v>
          </cell>
          <cell r="H31" t="str">
            <v>AGRICULTURE</v>
          </cell>
          <cell r="I31" t="str">
            <v>02101 - MAIN ENVELOP - BUDGETARY ALLOCATION</v>
          </cell>
          <cell r="J31" t="str">
            <v>ACROSS THE STATE</v>
          </cell>
        </row>
        <row r="32">
          <cell r="C32" t="str">
            <v>Procurement of chemicals &amp; Equipment for Prevention of Disease Outbreak</v>
          </cell>
          <cell r="D32" t="str">
            <v>1.) Registration of Poultry Farms 
2.) Purchase of Chemicals
3.) Purchase of equipment
4.) Sensitization and Awareness</v>
          </cell>
          <cell r="E32" t="str">
            <v>Veterinary and Livestock</v>
          </cell>
          <cell r="G32" t="str">
            <v>Capital</v>
          </cell>
          <cell r="H32" t="str">
            <v>AGRICULTURE</v>
          </cell>
          <cell r="I32" t="str">
            <v>02101 - MAIN ENVELOP - BUDGETARY ALLOCATION</v>
          </cell>
          <cell r="J32" t="str">
            <v>ACROSS THE STATE</v>
          </cell>
        </row>
        <row r="33">
          <cell r="C33" t="str">
            <v>Development of Livestock Production Clusters</v>
          </cell>
          <cell r="D33" t="str">
            <v>1.) Construction of livestock Service Centres 
2.) Purchase of Equipment
3.) Pasture Development
4.)Water/Utilities Supply                       5.)  Tracing of Stock Route</v>
          </cell>
          <cell r="E33" t="str">
            <v>Veterinary and Livestock</v>
          </cell>
          <cell r="G33" t="str">
            <v>Capital</v>
          </cell>
          <cell r="H33" t="str">
            <v>AGRICULTURE</v>
          </cell>
          <cell r="I33" t="str">
            <v>02101 - MAIN ENVELOP - BUDGETARY ALLOCATION</v>
          </cell>
          <cell r="J33" t="str">
            <v>ACROSS THE STATE</v>
          </cell>
        </row>
        <row r="34">
          <cell r="C34" t="str">
            <v>Rehabilitation/Equipment /Maintenance of 75 warehouses</v>
          </cell>
          <cell r="D34" t="str">
            <v xml:space="preserve">1.) Development of Bill of Quantities
2.) Renovation of existing warehouses
3.)  Construction of new warehouses 
4.) </v>
          </cell>
          <cell r="E34" t="str">
            <v>Agric Services Departmen</v>
          </cell>
          <cell r="G34" t="str">
            <v>Capital</v>
          </cell>
          <cell r="H34" t="str">
            <v>AGRICULTURE</v>
          </cell>
          <cell r="I34" t="str">
            <v>02101 - MAIN ENVELOP - BUDGETARY ALLOCATION</v>
          </cell>
          <cell r="J34" t="str">
            <v>ACROSS THE STATE</v>
          </cell>
        </row>
        <row r="35">
          <cell r="C35" t="str">
            <v>Purchase of 3 No briquette machines</v>
          </cell>
          <cell r="D35" t="str">
            <v xml:space="preserve">1.) Preliminary Activities of Briquette Purchase
2.)  Purchase and Installation of the Briquette Machine
3.) Training/Site Demonstration of the Briquette Machine  
4.) </v>
          </cell>
          <cell r="E35" t="str">
            <v>Agriculture Engineering</v>
          </cell>
          <cell r="G35" t="str">
            <v>Capital</v>
          </cell>
          <cell r="H35" t="str">
            <v>AGRICULTURE</v>
          </cell>
          <cell r="I35" t="str">
            <v>02101 - MAIN ENVELOP - BUDGETARY ALLOCATION</v>
          </cell>
          <cell r="J35" t="str">
            <v>ACROSS THE STATE</v>
          </cell>
        </row>
        <row r="36">
          <cell r="C36" t="str">
            <v>Procure Demonstrating Equipment for the School of Home Economic</v>
          </cell>
          <cell r="D36" t="str">
            <v xml:space="preserve">1.)  Purchase of School Equipments
2.) 
3.)   
4.) </v>
          </cell>
          <cell r="E36" t="str">
            <v xml:space="preserve">AGRIC SEVICES DEPARTMENT </v>
          </cell>
          <cell r="G36" t="str">
            <v>Capital</v>
          </cell>
          <cell r="H36" t="str">
            <v>AGRICULTURE</v>
          </cell>
          <cell r="I36" t="str">
            <v>02101 - MAIN ENVELOP - BUDGETARY ALLOCATION</v>
          </cell>
          <cell r="J36" t="str">
            <v>KADUNA NORTH</v>
          </cell>
        </row>
        <row r="37">
          <cell r="D37" t="str">
            <v xml:space="preserve">1.)  
2.) 
3.)   
4.) </v>
          </cell>
        </row>
        <row r="38">
          <cell r="D38" t="str">
            <v xml:space="preserve">1.)  
2.) 
3.)   
4.) </v>
          </cell>
        </row>
        <row r="39">
          <cell r="D39" t="str">
            <v xml:space="preserve">1.)  
2.) 
3.)   
4.) </v>
          </cell>
        </row>
        <row r="40">
          <cell r="D40" t="str">
            <v xml:space="preserve">1.)  
2.) 
3.)   
4.) </v>
          </cell>
        </row>
        <row r="41">
          <cell r="D41" t="str">
            <v xml:space="preserve">1.)  
2.) 
3.)   
4.) </v>
          </cell>
        </row>
        <row r="42">
          <cell r="D42" t="str">
            <v xml:space="preserve">1.)  
2.) 
3.)   
4.) </v>
          </cell>
        </row>
        <row r="43">
          <cell r="D43" t="str">
            <v xml:space="preserve">1.)  
2.) 
3.)   
4.) </v>
          </cell>
        </row>
        <row r="44">
          <cell r="D44" t="str">
            <v xml:space="preserve">1.)  
2.) 
3.)   
4.) </v>
          </cell>
        </row>
        <row r="45">
          <cell r="D45" t="str">
            <v xml:space="preserve">1.)  
2.) 
3.)   
4.) </v>
          </cell>
        </row>
        <row r="46">
          <cell r="D46" t="str">
            <v xml:space="preserve">1.)  
2.) 
3.)   
4.) </v>
          </cell>
        </row>
        <row r="47">
          <cell r="D47" t="str">
            <v xml:space="preserve">1.)  
2.) 
3.)   
4.) </v>
          </cell>
        </row>
        <row r="48">
          <cell r="D48" t="str">
            <v xml:space="preserve">1.)  
2.) 
3.)   
4.) </v>
          </cell>
        </row>
        <row r="49">
          <cell r="D49" t="str">
            <v xml:space="preserve">1.)  
2.) 
3.)   
4.) </v>
          </cell>
        </row>
        <row r="50">
          <cell r="D50" t="str">
            <v xml:space="preserve">1.)  
2.) 
3.)   
4.) </v>
          </cell>
        </row>
        <row r="51">
          <cell r="D51" t="str">
            <v xml:space="preserve">1.)  
2.) 
3.)   
4.) </v>
          </cell>
        </row>
        <row r="52">
          <cell r="D52" t="str">
            <v xml:space="preserve">1.)  
2.) 
3.)   
4.) </v>
          </cell>
        </row>
        <row r="53">
          <cell r="D53" t="str">
            <v xml:space="preserve">1.)  
2.) 
3.)   
4.) </v>
          </cell>
        </row>
        <row r="54">
          <cell r="D54" t="str">
            <v xml:space="preserve">1.)  
2.) 
3.)   
4.) </v>
          </cell>
        </row>
        <row r="55">
          <cell r="D55" t="str">
            <v xml:space="preserve">1.)  
2.) 
3.)   
4.) </v>
          </cell>
        </row>
        <row r="56">
          <cell r="D56" t="str">
            <v xml:space="preserve">1.)  
2.) 
3.)   
4.) </v>
          </cell>
        </row>
        <row r="57">
          <cell r="D57" t="str">
            <v xml:space="preserve">1.)  
2.) 
3.)   
4.) </v>
          </cell>
        </row>
        <row r="58">
          <cell r="D58" t="str">
            <v xml:space="preserve">1.)  
2.) 
3.)   
4.) </v>
          </cell>
        </row>
        <row r="59">
          <cell r="D59" t="str">
            <v xml:space="preserve">1.)  
2.) 
3.)   
4.) </v>
          </cell>
        </row>
        <row r="60">
          <cell r="D60" t="str">
            <v xml:space="preserve">1.)  
2.) 
3.)   
4.) </v>
          </cell>
        </row>
        <row r="61">
          <cell r="D61" t="str">
            <v xml:space="preserve">1.)  
2.) 
3.)   
4.) </v>
          </cell>
        </row>
        <row r="62">
          <cell r="D62" t="str">
            <v xml:space="preserve">1.)  
2.) 
3.)   
4.) </v>
          </cell>
        </row>
        <row r="63">
          <cell r="D63" t="str">
            <v xml:space="preserve">1.)  
2.) 
3.)   
4.) </v>
          </cell>
        </row>
        <row r="64">
          <cell r="D64" t="str">
            <v xml:space="preserve">1.)  
2.) 
3.)   
4.) </v>
          </cell>
        </row>
        <row r="65">
          <cell r="D65" t="str">
            <v xml:space="preserve">1.)  
2.) 
3.)   
4.) </v>
          </cell>
        </row>
        <row r="66">
          <cell r="D66" t="str">
            <v xml:space="preserve">1.)  
2.) 
3.)   
4.) </v>
          </cell>
        </row>
        <row r="67">
          <cell r="D67" t="str">
            <v xml:space="preserve">1.)  
2.) 
3.)   
4.) </v>
          </cell>
        </row>
        <row r="68">
          <cell r="D68" t="str">
            <v xml:space="preserve">1.)  
2.) 
3.)   
4.) </v>
          </cell>
        </row>
        <row r="69">
          <cell r="D69" t="str">
            <v xml:space="preserve">1.)  
2.) 
3.)   
4.) </v>
          </cell>
        </row>
        <row r="70">
          <cell r="D70" t="str">
            <v xml:space="preserve">1.)  
2.) 
3.)   
4.) </v>
          </cell>
        </row>
        <row r="71">
          <cell r="D71" t="str">
            <v xml:space="preserve">1.)  
2.) 
3.)   
4.) </v>
          </cell>
        </row>
        <row r="72">
          <cell r="D72" t="str">
            <v xml:space="preserve">1.)  
2.) 
3.)   
4.) </v>
          </cell>
        </row>
        <row r="73">
          <cell r="D73" t="str">
            <v xml:space="preserve">1.)  
2.) 
3.)   
4.) </v>
          </cell>
        </row>
        <row r="74">
          <cell r="D74" t="str">
            <v xml:space="preserve">1.)  
2.) 
3.)   
4.) </v>
          </cell>
        </row>
        <row r="75">
          <cell r="D75" t="str">
            <v xml:space="preserve">1.)  
2.) 
3.)   
4.) </v>
          </cell>
        </row>
        <row r="76">
          <cell r="D76" t="str">
            <v xml:space="preserve">1.)  
2.) 
3.)   
4.) </v>
          </cell>
        </row>
        <row r="77">
          <cell r="D77" t="str">
            <v xml:space="preserve">1.)  
2.) 
3.)   
4.) </v>
          </cell>
        </row>
        <row r="78">
          <cell r="D78" t="str">
            <v xml:space="preserve">1.)  
2.) 
3.)   
4.) </v>
          </cell>
        </row>
        <row r="79">
          <cell r="D79" t="str">
            <v xml:space="preserve">1.)  
2.) 
3.)   
4.) </v>
          </cell>
        </row>
        <row r="80">
          <cell r="D80" t="str">
            <v xml:space="preserve">1.)  
2.) 
3.)   
4.) </v>
          </cell>
        </row>
        <row r="81">
          <cell r="D81" t="str">
            <v xml:space="preserve">1.)  
2.) 
3.)   
4.) </v>
          </cell>
        </row>
        <row r="82">
          <cell r="D82" t="str">
            <v xml:space="preserve">1.)  
2.) 
3.)   
4.) </v>
          </cell>
        </row>
        <row r="83">
          <cell r="D83" t="str">
            <v xml:space="preserve">1.)  
2.) 
3.)   
4.) </v>
          </cell>
        </row>
        <row r="84">
          <cell r="D84" t="str">
            <v xml:space="preserve">1.)  
2.) 
3.)   
4.) </v>
          </cell>
        </row>
        <row r="85">
          <cell r="D85" t="str">
            <v xml:space="preserve">1.)  
2.) 
3.)   
4.) </v>
          </cell>
        </row>
        <row r="86">
          <cell r="D86" t="str">
            <v xml:space="preserve">1.)  
2.) 
3.)   
4.) </v>
          </cell>
        </row>
        <row r="87">
          <cell r="D87" t="str">
            <v xml:space="preserve">1.)  
2.) 
3.)   
4.) </v>
          </cell>
        </row>
        <row r="88">
          <cell r="D88" t="str">
            <v xml:space="preserve">1.)  
2.) 
3.)   
4.) </v>
          </cell>
        </row>
        <row r="89">
          <cell r="D89" t="str">
            <v xml:space="preserve">1.)  
2.) 
3.)   
4.) </v>
          </cell>
        </row>
        <row r="90">
          <cell r="D90" t="str">
            <v xml:space="preserve">1.)  
2.) 
3.)   
4.) </v>
          </cell>
        </row>
        <row r="91">
          <cell r="D91" t="str">
            <v xml:space="preserve">1.)  
2.) 
3.)   
4.) </v>
          </cell>
        </row>
        <row r="92">
          <cell r="D92" t="str">
            <v xml:space="preserve">1.)  
2.) 
3.)   
4.) </v>
          </cell>
        </row>
        <row r="93">
          <cell r="D93" t="str">
            <v xml:space="preserve">1.)  
2.) 
3.)   
4.) </v>
          </cell>
        </row>
        <row r="94">
          <cell r="D94" t="str">
            <v xml:space="preserve">1.)  
2.) 
3.)   
4.) </v>
          </cell>
        </row>
        <row r="95">
          <cell r="D95" t="str">
            <v xml:space="preserve">1.)  
2.) 
3.)   
4.) </v>
          </cell>
        </row>
        <row r="96">
          <cell r="D96" t="str">
            <v xml:space="preserve">1.)  
2.) 
3.)   
4.) </v>
          </cell>
        </row>
        <row r="97">
          <cell r="D97" t="str">
            <v xml:space="preserve">1.)  
2.) 
3.)   
4.) </v>
          </cell>
        </row>
        <row r="98">
          <cell r="D98" t="str">
            <v xml:space="preserve">1.)  
2.) 
3.)   
4.) </v>
          </cell>
        </row>
        <row r="99">
          <cell r="D99" t="str">
            <v xml:space="preserve">1.)  
2.) 
3.)   
4.) </v>
          </cell>
        </row>
        <row r="100">
          <cell r="D100" t="str">
            <v xml:space="preserve">1.)  
2.) 
3.)   
4.) </v>
          </cell>
        </row>
        <row r="101">
          <cell r="D101" t="str">
            <v xml:space="preserve">1.)  
2.) 
3.)   
4.) </v>
          </cell>
        </row>
        <row r="102">
          <cell r="D102" t="str">
            <v xml:space="preserve">1.)  
2.) 
3.)   
4.) </v>
          </cell>
        </row>
        <row r="103">
          <cell r="D103" t="str">
            <v xml:space="preserve">1.)  
2.) 
3.)   
4.) </v>
          </cell>
        </row>
        <row r="104">
          <cell r="D104" t="str">
            <v xml:space="preserve">1.)  
2.) 
3.)   
4.) </v>
          </cell>
        </row>
        <row r="105">
          <cell r="D105" t="str">
            <v xml:space="preserve">1.)  
2.) 
3.)   
4.) </v>
          </cell>
        </row>
        <row r="106">
          <cell r="D106" t="str">
            <v xml:space="preserve">1.)  
2.) 
3.)   
4.) </v>
          </cell>
        </row>
        <row r="107">
          <cell r="D107" t="str">
            <v xml:space="preserve">1.)  
2.) 
3.)   
4.) </v>
          </cell>
        </row>
        <row r="108">
          <cell r="D108" t="str">
            <v xml:space="preserve">1.)  
2.) 
3.)   
4.) </v>
          </cell>
        </row>
        <row r="109">
          <cell r="D109" t="str">
            <v xml:space="preserve">1.)  
2.) 
3.)   
4.) </v>
          </cell>
        </row>
        <row r="110">
          <cell r="D110" t="str">
            <v xml:space="preserve">1.)  
2.) 
3.)   
4.) </v>
          </cell>
        </row>
        <row r="111">
          <cell r="D111" t="str">
            <v xml:space="preserve">1.)  
2.) 
3.)   
4.) </v>
          </cell>
        </row>
        <row r="112">
          <cell r="D112" t="str">
            <v xml:space="preserve">1.)  
2.) 
3.)   
4.) </v>
          </cell>
        </row>
        <row r="113">
          <cell r="D113" t="str">
            <v xml:space="preserve">1.)  
2.) 
3.)   
4.) </v>
          </cell>
        </row>
        <row r="114">
          <cell r="D114" t="str">
            <v xml:space="preserve">1.)  
2.) 
3.)   
4.) </v>
          </cell>
        </row>
        <row r="115">
          <cell r="D115" t="str">
            <v xml:space="preserve">1.)  
2.) 
3.)   
4.) </v>
          </cell>
        </row>
        <row r="116">
          <cell r="D116" t="str">
            <v xml:space="preserve">1.)  
2.) 
3.)   
4.) </v>
          </cell>
        </row>
        <row r="117">
          <cell r="D117" t="str">
            <v xml:space="preserve">1.)  
2.) 
3.)   
4.) </v>
          </cell>
        </row>
        <row r="118">
          <cell r="D118" t="str">
            <v xml:space="preserve">1.)  
2.) 
3.)   
4.) </v>
          </cell>
        </row>
        <row r="119">
          <cell r="D119" t="str">
            <v xml:space="preserve">1.)  
2.) 
3.)   
4.) </v>
          </cell>
        </row>
        <row r="120">
          <cell r="D120" t="str">
            <v xml:space="preserve">1.)  
2.) 
3.)   
4.) </v>
          </cell>
        </row>
        <row r="121">
          <cell r="D121" t="str">
            <v xml:space="preserve">1.)  
2.) 
3.)   
4.) </v>
          </cell>
        </row>
        <row r="122">
          <cell r="D122" t="str">
            <v xml:space="preserve">1.)  
2.) 
3.)   
4.) </v>
          </cell>
        </row>
        <row r="123">
          <cell r="D123" t="str">
            <v xml:space="preserve">1.)  
2.) 
3.)   
4.) </v>
          </cell>
        </row>
        <row r="124">
          <cell r="D124" t="str">
            <v xml:space="preserve">1.)  
2.) 
3.)   
4.) </v>
          </cell>
        </row>
        <row r="125">
          <cell r="D125" t="str">
            <v xml:space="preserve">1.)  
2.) 
3.)   
4.) </v>
          </cell>
        </row>
        <row r="126">
          <cell r="D126" t="str">
            <v xml:space="preserve">1.)  
2.) 
3.)   
4.) </v>
          </cell>
        </row>
        <row r="127">
          <cell r="D127" t="str">
            <v xml:space="preserve">1.)  
2.) 
3.)   
4.) </v>
          </cell>
        </row>
        <row r="128">
          <cell r="D128" t="str">
            <v xml:space="preserve">1.)  
2.) 
3.)   
4.) </v>
          </cell>
        </row>
        <row r="129">
          <cell r="D129" t="str">
            <v xml:space="preserve">1.)  
2.) 
3.)   
4.) </v>
          </cell>
        </row>
        <row r="130">
          <cell r="D130" t="str">
            <v xml:space="preserve">1.)  
2.) 
3.)   
4.) </v>
          </cell>
        </row>
        <row r="131">
          <cell r="D131" t="str">
            <v xml:space="preserve">1.)  
2.) 
3.)   
4.) </v>
          </cell>
        </row>
        <row r="132">
          <cell r="D132" t="str">
            <v xml:space="preserve">1.)  
2.) 
3.)   
4.) </v>
          </cell>
        </row>
        <row r="133">
          <cell r="D133" t="str">
            <v xml:space="preserve">1.)  
2.) 
3.)   
4.) </v>
          </cell>
        </row>
        <row r="134">
          <cell r="D134" t="str">
            <v xml:space="preserve">1.)  
2.) 
3.)   
4.) </v>
          </cell>
        </row>
        <row r="135">
          <cell r="D135" t="str">
            <v xml:space="preserve">1.)  
2.) 
3.)   
4.) </v>
          </cell>
        </row>
        <row r="136">
          <cell r="D136" t="str">
            <v xml:space="preserve">1.)  
2.) 
3.)   
4.) </v>
          </cell>
        </row>
        <row r="137">
          <cell r="D137" t="str">
            <v xml:space="preserve">1.)  
2.) 
3.)   
4.) </v>
          </cell>
        </row>
        <row r="138">
          <cell r="D138" t="str">
            <v xml:space="preserve">1.)  
2.) 
3.)   
4.) </v>
          </cell>
        </row>
        <row r="139">
          <cell r="D139" t="str">
            <v xml:space="preserve">1.)  
2.) 
3.)   
4.) </v>
          </cell>
        </row>
        <row r="140">
          <cell r="D140" t="str">
            <v xml:space="preserve">1.)  
2.) 
3.)   
4.) </v>
          </cell>
        </row>
        <row r="141">
          <cell r="D141" t="str">
            <v xml:space="preserve">1.)  
2.) 
3.)   
4.) </v>
          </cell>
        </row>
        <row r="142">
          <cell r="D142" t="str">
            <v xml:space="preserve">1.)  
2.) 
3.)   
4.) </v>
          </cell>
        </row>
        <row r="143">
          <cell r="D143" t="str">
            <v xml:space="preserve">1.)  
2.) 
3.)   
4.) </v>
          </cell>
        </row>
        <row r="144">
          <cell r="D144" t="str">
            <v xml:space="preserve">1.)  
2.) 
3.)   
4.) </v>
          </cell>
        </row>
        <row r="145">
          <cell r="D145" t="str">
            <v xml:space="preserve">1.)  
2.) 
3.)   
4.) </v>
          </cell>
        </row>
        <row r="146">
          <cell r="D146" t="str">
            <v xml:space="preserve">1.)  
2.) 
3.)   
4.) </v>
          </cell>
        </row>
        <row r="147">
          <cell r="D147" t="str">
            <v xml:space="preserve">1.)  
2.) 
3.)   
4.) </v>
          </cell>
        </row>
        <row r="148">
          <cell r="D148" t="str">
            <v xml:space="preserve">1.)  
2.) 
3.)   
4.) </v>
          </cell>
        </row>
        <row r="149">
          <cell r="D149" t="str">
            <v xml:space="preserve">1.)  
2.) 
3.)   
4.) </v>
          </cell>
        </row>
        <row r="150">
          <cell r="D150" t="str">
            <v xml:space="preserve">1.)  
2.) 
3.)   
4.) </v>
          </cell>
        </row>
        <row r="151">
          <cell r="D151" t="str">
            <v xml:space="preserve">1.)  
2.) 
3.)   
4.) </v>
          </cell>
        </row>
        <row r="152">
          <cell r="D152" t="str">
            <v xml:space="preserve">1.)  
2.) 
3.)   
4.) </v>
          </cell>
        </row>
        <row r="153">
          <cell r="D153" t="str">
            <v xml:space="preserve">1.)  
2.) 
3.)   
4.) </v>
          </cell>
        </row>
        <row r="154">
          <cell r="D154" t="str">
            <v xml:space="preserve">1.)  
2.) 
3.)   
4.) </v>
          </cell>
        </row>
        <row r="155">
          <cell r="D155" t="str">
            <v xml:space="preserve">1.)  
2.) 
3.)   
4.) </v>
          </cell>
        </row>
        <row r="156">
          <cell r="D156" t="str">
            <v xml:space="preserve">1.)  
2.) 
3.)   
4.) </v>
          </cell>
        </row>
        <row r="157">
          <cell r="D157" t="str">
            <v xml:space="preserve">1.)  
2.) 
3.)   
4.) </v>
          </cell>
        </row>
        <row r="158">
          <cell r="D158" t="str">
            <v xml:space="preserve">1.)  
2.) 
3.)   
4.) </v>
          </cell>
        </row>
        <row r="159">
          <cell r="D159" t="str">
            <v xml:space="preserve">1.)  
2.) 
3.)   
4.) </v>
          </cell>
        </row>
        <row r="160">
          <cell r="D160" t="str">
            <v xml:space="preserve">1.)  
2.) 
3.)   
4.) </v>
          </cell>
        </row>
        <row r="161">
          <cell r="D161" t="str">
            <v xml:space="preserve">1.)  
2.) 
3.)   
4.) </v>
          </cell>
        </row>
        <row r="162">
          <cell r="D162" t="str">
            <v xml:space="preserve">1.)  
2.) 
3.)   
4.) </v>
          </cell>
        </row>
        <row r="163">
          <cell r="D163" t="str">
            <v xml:space="preserve">1.)  
2.) 
3.)   
4.) </v>
          </cell>
        </row>
        <row r="164">
          <cell r="D164" t="str">
            <v xml:space="preserve">1.)  
2.) 
3.)   
4.) </v>
          </cell>
        </row>
        <row r="165">
          <cell r="D165" t="str">
            <v xml:space="preserve">1.)  
2.) 
3.)   
4.) </v>
          </cell>
        </row>
        <row r="166">
          <cell r="D166" t="str">
            <v xml:space="preserve">1.)  
2.) 
3.)   
4.) </v>
          </cell>
        </row>
        <row r="167">
          <cell r="D167" t="str">
            <v xml:space="preserve">1.)  
2.) 
3.)   
4.) </v>
          </cell>
        </row>
        <row r="168">
          <cell r="D168" t="str">
            <v xml:space="preserve">1.)  
2.) 
3.)   
4.) </v>
          </cell>
        </row>
        <row r="169">
          <cell r="D169" t="str">
            <v xml:space="preserve">1.)  
2.) 
3.)   
4.) </v>
          </cell>
        </row>
        <row r="170">
          <cell r="D170" t="str">
            <v xml:space="preserve">1.)  
2.) 
3.)   
4.) </v>
          </cell>
        </row>
        <row r="171">
          <cell r="D171" t="str">
            <v xml:space="preserve">1.)  
2.) 
3.)   
4.) </v>
          </cell>
        </row>
        <row r="172">
          <cell r="D172" t="str">
            <v xml:space="preserve">1.)  
2.) 
3.)   
4.) </v>
          </cell>
        </row>
        <row r="173">
          <cell r="D173" t="str">
            <v xml:space="preserve">1.)  
2.) 
3.)   
4.) </v>
          </cell>
        </row>
        <row r="174">
          <cell r="D174" t="str">
            <v xml:space="preserve">1.)  
2.) 
3.)   
4.) </v>
          </cell>
        </row>
        <row r="175">
          <cell r="D175" t="str">
            <v xml:space="preserve">1.)  
2.) 
3.)   
4.) </v>
          </cell>
        </row>
        <row r="176">
          <cell r="D176" t="str">
            <v xml:space="preserve">1.)  
2.) 
3.)   
4.) </v>
          </cell>
        </row>
        <row r="177">
          <cell r="D177" t="str">
            <v xml:space="preserve">1.)  
2.) 
3.)   
4.) </v>
          </cell>
        </row>
        <row r="178">
          <cell r="D178" t="str">
            <v xml:space="preserve">1.)  
2.) 
3.)   
4.) </v>
          </cell>
        </row>
        <row r="179">
          <cell r="D179" t="str">
            <v xml:space="preserve">1.)  
2.) 
3.)   
4.) </v>
          </cell>
        </row>
        <row r="180">
          <cell r="D180" t="str">
            <v xml:space="preserve">1.)  
2.) 
3.)   
4.) </v>
          </cell>
        </row>
        <row r="181">
          <cell r="D181" t="str">
            <v xml:space="preserve">1.)  
2.) 
3.)   
4.) </v>
          </cell>
        </row>
        <row r="182">
          <cell r="D182" t="str">
            <v xml:space="preserve">1.)  
2.) 
3.)   
4.) </v>
          </cell>
        </row>
        <row r="183">
          <cell r="D183" t="str">
            <v xml:space="preserve">1.)  
2.) 
3.)   
4.) </v>
          </cell>
        </row>
        <row r="184">
          <cell r="D184" t="str">
            <v xml:space="preserve">1.)  
2.) 
3.)   
4.) </v>
          </cell>
        </row>
        <row r="185">
          <cell r="D185" t="str">
            <v xml:space="preserve">1.)  
2.) 
3.)   
4.) </v>
          </cell>
        </row>
        <row r="186">
          <cell r="D186" t="str">
            <v xml:space="preserve">1.)  
2.) 
3.)   
4.) </v>
          </cell>
        </row>
        <row r="187">
          <cell r="D187" t="str">
            <v xml:space="preserve">1.)  
2.) 
3.)   
4.) </v>
          </cell>
        </row>
        <row r="188">
          <cell r="D188" t="str">
            <v xml:space="preserve">1.)  
2.) 
3.)   
4.) </v>
          </cell>
        </row>
        <row r="189">
          <cell r="D189" t="str">
            <v xml:space="preserve">1.)  
2.) 
3.)   
4.) </v>
          </cell>
        </row>
        <row r="190">
          <cell r="D190" t="str">
            <v xml:space="preserve">1.)  
2.) 
3.)   
4.) </v>
          </cell>
        </row>
        <row r="191">
          <cell r="D191" t="str">
            <v xml:space="preserve">1.)  
2.) 
3.)   
4.) </v>
          </cell>
        </row>
        <row r="192">
          <cell r="D192" t="str">
            <v xml:space="preserve">1.)  
2.) 
3.)   
4.) </v>
          </cell>
        </row>
        <row r="193">
          <cell r="D193" t="str">
            <v xml:space="preserve">1.)  
2.) 
3.)   
4.) </v>
          </cell>
        </row>
        <row r="194">
          <cell r="D194" t="str">
            <v xml:space="preserve">1.)  
2.) 
3.)   
4.) </v>
          </cell>
        </row>
        <row r="195">
          <cell r="D195" t="str">
            <v xml:space="preserve">1.)  
2.) 
3.)   
4.) </v>
          </cell>
        </row>
        <row r="196">
          <cell r="D196" t="str">
            <v xml:space="preserve">1.)  
2.) 
3.)   
4.) </v>
          </cell>
        </row>
        <row r="197">
          <cell r="D197" t="str">
            <v xml:space="preserve">1.)  
2.) 
3.)   
4.) </v>
          </cell>
        </row>
        <row r="198">
          <cell r="D198" t="str">
            <v xml:space="preserve">1.)  
2.) 
3.)   
4.) </v>
          </cell>
        </row>
        <row r="199">
          <cell r="D199" t="str">
            <v xml:space="preserve">1.)  
2.) 
3.)   
4.) </v>
          </cell>
        </row>
        <row r="200">
          <cell r="D200" t="str">
            <v xml:space="preserve">1.)  
2.) 
3.)   
4.) </v>
          </cell>
        </row>
        <row r="201">
          <cell r="D201" t="str">
            <v xml:space="preserve">1.)  
2.) 
3.)   
4.) </v>
          </cell>
        </row>
        <row r="202">
          <cell r="D202" t="str">
            <v xml:space="preserve">1.)  
2.) 
3.)   
4.) </v>
          </cell>
        </row>
        <row r="203">
          <cell r="D203" t="str">
            <v xml:space="preserve">1.)  
2.) 
3.)   
4.) </v>
          </cell>
        </row>
        <row r="204">
          <cell r="D204" t="str">
            <v xml:space="preserve">1.)  
2.) 
3.)   
4.) </v>
          </cell>
        </row>
        <row r="205">
          <cell r="D205" t="str">
            <v xml:space="preserve">1.)  
2.) 
3.)   
4.) </v>
          </cell>
        </row>
        <row r="206">
          <cell r="D206" t="str">
            <v xml:space="preserve">1.)  
2.) 
3.)   
4.) </v>
          </cell>
        </row>
        <row r="207">
          <cell r="D207" t="str">
            <v xml:space="preserve">1.)  
2.) 
3.)   
4.) </v>
          </cell>
        </row>
        <row r="208">
          <cell r="D208" t="str">
            <v xml:space="preserve">1.)  
2.) 
3.)   
4.) </v>
          </cell>
        </row>
        <row r="209">
          <cell r="D209" t="str">
            <v xml:space="preserve">1.)  
2.) 
3.)   
4.) </v>
          </cell>
        </row>
        <row r="210">
          <cell r="D210" t="str">
            <v xml:space="preserve">1.)  
2.) 
3.)   
4.) </v>
          </cell>
        </row>
        <row r="211">
          <cell r="D211" t="str">
            <v xml:space="preserve">1.)  
2.) 
3.)   
4.) </v>
          </cell>
        </row>
        <row r="212">
          <cell r="D212" t="str">
            <v xml:space="preserve">1.)  
2.) 
3.)   
4.) </v>
          </cell>
        </row>
        <row r="213">
          <cell r="D213" t="str">
            <v xml:space="preserve">1.)  
2.) 
3.)   
4.) </v>
          </cell>
        </row>
        <row r="214">
          <cell r="D214" t="str">
            <v xml:space="preserve">1.)  
2.) 
3.)   
4.) </v>
          </cell>
        </row>
        <row r="215">
          <cell r="D215" t="str">
            <v xml:space="preserve">1.)  
2.) 
3.)   
4.) </v>
          </cell>
        </row>
        <row r="216">
          <cell r="D216" t="str">
            <v xml:space="preserve">1.)  
2.) 
3.)   
4.) </v>
          </cell>
        </row>
        <row r="217">
          <cell r="D217" t="str">
            <v xml:space="preserve">1.)  
2.) 
3.)   
4.) </v>
          </cell>
        </row>
        <row r="218">
          <cell r="D218" t="str">
            <v xml:space="preserve">1.)  
2.) 
3.)   
4.) </v>
          </cell>
        </row>
        <row r="219">
          <cell r="D219" t="str">
            <v xml:space="preserve">1.)  
2.) 
3.)   
4.) </v>
          </cell>
        </row>
        <row r="220">
          <cell r="D220" t="str">
            <v xml:space="preserve">1.)  
2.) 
3.)   
4.) </v>
          </cell>
        </row>
        <row r="221">
          <cell r="D221" t="str">
            <v xml:space="preserve">1.)  
2.) 
3.)   
4.) </v>
          </cell>
        </row>
        <row r="222">
          <cell r="D222" t="str">
            <v xml:space="preserve">1.)  
2.) 
3.)   
4.) </v>
          </cell>
        </row>
        <row r="223">
          <cell r="D223" t="str">
            <v xml:space="preserve">1.)  
2.) 
3.)   
4.) </v>
          </cell>
        </row>
        <row r="224">
          <cell r="D224" t="str">
            <v xml:space="preserve">1.)  
2.) 
3.)   
4.) </v>
          </cell>
        </row>
        <row r="225">
          <cell r="D225" t="str">
            <v xml:space="preserve">1.)  
2.) 
3.)   
4.) </v>
          </cell>
        </row>
        <row r="226">
          <cell r="D226" t="str">
            <v xml:space="preserve">1.)  
2.) 
3.)   
4.) </v>
          </cell>
        </row>
        <row r="227">
          <cell r="D227" t="str">
            <v xml:space="preserve">1.)  
2.) 
3.)   
4.) </v>
          </cell>
        </row>
        <row r="228">
          <cell r="D228" t="str">
            <v xml:space="preserve">1.)  
2.) 
3.)   
4.) </v>
          </cell>
        </row>
        <row r="229">
          <cell r="D229" t="str">
            <v xml:space="preserve">1.)  
2.) 
3.)   
4.) </v>
          </cell>
        </row>
        <row r="230">
          <cell r="D230" t="str">
            <v xml:space="preserve">1.)  
2.) 
3.)   
4.) </v>
          </cell>
        </row>
        <row r="231">
          <cell r="D231" t="str">
            <v xml:space="preserve">1.)  
2.) 
3.)   
4.) </v>
          </cell>
        </row>
        <row r="232">
          <cell r="D232" t="str">
            <v xml:space="preserve">1.)  
2.) 
3.)   
4.) </v>
          </cell>
        </row>
        <row r="233">
          <cell r="D233" t="str">
            <v xml:space="preserve">1.)  
2.) 
3.)   
4.) </v>
          </cell>
        </row>
        <row r="234">
          <cell r="D234" t="str">
            <v xml:space="preserve">1.)  
2.) 
3.)   
4.) </v>
          </cell>
        </row>
        <row r="235">
          <cell r="D235" t="str">
            <v xml:space="preserve">1.)  
2.) 
3.)   
4.) </v>
          </cell>
        </row>
        <row r="236">
          <cell r="D236" t="str">
            <v xml:space="preserve">1.)  
2.) 
3.)   
4.) </v>
          </cell>
        </row>
        <row r="237">
          <cell r="D237" t="str">
            <v xml:space="preserve">1.)  
2.) 
3.)   
4.) </v>
          </cell>
        </row>
        <row r="238">
          <cell r="D238" t="str">
            <v xml:space="preserve">1.)  
2.) 
3.)   
4.) </v>
          </cell>
        </row>
        <row r="239">
          <cell r="D239" t="str">
            <v xml:space="preserve">1.)  
2.) 
3.)   
4.) </v>
          </cell>
        </row>
        <row r="240">
          <cell r="D240" t="str">
            <v xml:space="preserve">1.)  
2.) 
3.)   
4.) </v>
          </cell>
        </row>
        <row r="241">
          <cell r="D241" t="str">
            <v xml:space="preserve">1.)  
2.) 
3.)   
4.) </v>
          </cell>
        </row>
        <row r="242">
          <cell r="D242" t="str">
            <v xml:space="preserve">1.)  
2.) 
3.)   
4.) </v>
          </cell>
        </row>
        <row r="243">
          <cell r="D243" t="str">
            <v xml:space="preserve">1.)  
2.) 
3.)   
4.) </v>
          </cell>
        </row>
        <row r="244">
          <cell r="D244" t="str">
            <v xml:space="preserve">1.)  
2.) 
3.)   
4.) </v>
          </cell>
        </row>
        <row r="245">
          <cell r="D245" t="str">
            <v xml:space="preserve">1.)  
2.) 
3.)   
4.) </v>
          </cell>
        </row>
        <row r="246">
          <cell r="D246" t="str">
            <v xml:space="preserve">1.)  
2.) 
3.)   
4.) </v>
          </cell>
        </row>
        <row r="247">
          <cell r="D247" t="str">
            <v xml:space="preserve">1.)  
2.) 
3.)   
4.) </v>
          </cell>
        </row>
        <row r="248">
          <cell r="D248" t="str">
            <v xml:space="preserve">1.)  
2.) 
3.)   
4.) </v>
          </cell>
        </row>
        <row r="249">
          <cell r="D249" t="str">
            <v xml:space="preserve">1.)  
2.) 
3.)   
4.) </v>
          </cell>
        </row>
        <row r="250">
          <cell r="D250" t="str">
            <v xml:space="preserve">1.)  
2.) 
3.)   
4.) </v>
          </cell>
        </row>
        <row r="251">
          <cell r="D251" t="str">
            <v xml:space="preserve">1.)  
2.) 
3.)   
4.) </v>
          </cell>
        </row>
        <row r="252">
          <cell r="D252" t="str">
            <v xml:space="preserve">1.)  
2.) 
3.)   
4.) </v>
          </cell>
        </row>
        <row r="253">
          <cell r="D253" t="str">
            <v xml:space="preserve">1.)  
2.) 
3.)   
4.) </v>
          </cell>
        </row>
        <row r="254">
          <cell r="D254" t="str">
            <v xml:space="preserve">1.)  
2.) 
3.)   
4.) </v>
          </cell>
        </row>
        <row r="255">
          <cell r="D255" t="str">
            <v xml:space="preserve">1.)  
2.) 
3.)   
4.) </v>
          </cell>
        </row>
        <row r="256">
          <cell r="D256" t="str">
            <v xml:space="preserve">1.)  
2.) 
3.)   
4.) </v>
          </cell>
        </row>
        <row r="257">
          <cell r="D257" t="str">
            <v xml:space="preserve">1.)  
2.) 
3.)   
4.) </v>
          </cell>
        </row>
        <row r="258">
          <cell r="D258" t="str">
            <v xml:space="preserve">1.)  
2.) 
3.)   
4.) </v>
          </cell>
        </row>
        <row r="259">
          <cell r="D259" t="str">
            <v xml:space="preserve">1.)  
2.) 
3.)   
4.) </v>
          </cell>
        </row>
        <row r="260">
          <cell r="D260" t="str">
            <v xml:space="preserve">1.)  
2.) 
3.)   
4.) </v>
          </cell>
        </row>
        <row r="261">
          <cell r="D261" t="str">
            <v xml:space="preserve">1.)  
2.) 
3.)   
4.) </v>
          </cell>
        </row>
        <row r="262">
          <cell r="D262" t="str">
            <v xml:space="preserve">1.)  
2.) 
3.)   
4.) </v>
          </cell>
        </row>
        <row r="263">
          <cell r="D263" t="str">
            <v xml:space="preserve">1.)  
2.) 
3.)   
4.) </v>
          </cell>
        </row>
        <row r="264">
          <cell r="D264" t="str">
            <v xml:space="preserve">1.)  
2.) 
3.)   
4.) </v>
          </cell>
        </row>
        <row r="265">
          <cell r="D265" t="str">
            <v xml:space="preserve">1.)  
2.) 
3.)   
4.) </v>
          </cell>
        </row>
        <row r="266">
          <cell r="D266" t="str">
            <v xml:space="preserve">1.)  
2.) 
3.)   
4.) </v>
          </cell>
        </row>
        <row r="267">
          <cell r="D267" t="str">
            <v xml:space="preserve">1.)  
2.) 
3.)   
4.) </v>
          </cell>
        </row>
        <row r="268">
          <cell r="D268" t="str">
            <v xml:space="preserve">1.)  
2.) 
3.)   
4.) </v>
          </cell>
        </row>
        <row r="269">
          <cell r="D269" t="str">
            <v xml:space="preserve">1.)  
2.) 
3.)   
4.) </v>
          </cell>
        </row>
        <row r="270">
          <cell r="D270" t="str">
            <v xml:space="preserve">1.)  
2.) 
3.)   
4.) </v>
          </cell>
        </row>
        <row r="271">
          <cell r="D271" t="str">
            <v xml:space="preserve">1.)  
2.) 
3.)   
4.) </v>
          </cell>
        </row>
        <row r="272">
          <cell r="D272" t="str">
            <v xml:space="preserve">1.)  
2.) 
3.)   
4.) </v>
          </cell>
        </row>
        <row r="273">
          <cell r="D273" t="str">
            <v xml:space="preserve">1.)  
2.) 
3.)   
4.) </v>
          </cell>
        </row>
        <row r="274">
          <cell r="D274" t="str">
            <v xml:space="preserve">1.)  
2.) 
3.)   
4.) </v>
          </cell>
        </row>
        <row r="275">
          <cell r="D275" t="str">
            <v xml:space="preserve">1.)  
2.) 
3.)   
4.) </v>
          </cell>
        </row>
        <row r="276">
          <cell r="D276" t="str">
            <v xml:space="preserve">1.)  
2.) 
3.)   
4.) </v>
          </cell>
        </row>
        <row r="277">
          <cell r="D277" t="str">
            <v xml:space="preserve">1.)  
2.) 
3.)   
4.) </v>
          </cell>
        </row>
        <row r="278">
          <cell r="D278" t="str">
            <v xml:space="preserve">1.)  
2.) 
3.)   
4.) </v>
          </cell>
        </row>
        <row r="279">
          <cell r="D279" t="str">
            <v xml:space="preserve">1.)  
2.) 
3.)   
4.) </v>
          </cell>
        </row>
        <row r="280">
          <cell r="D280" t="str">
            <v xml:space="preserve">1.)  
2.) 
3.)   
4.) </v>
          </cell>
        </row>
        <row r="281">
          <cell r="D281" t="str">
            <v xml:space="preserve">1.)  
2.) 
3.)   
4.) </v>
          </cell>
        </row>
        <row r="282">
          <cell r="D282" t="str">
            <v xml:space="preserve">1.)  
2.) 
3.)   
4.) </v>
          </cell>
        </row>
        <row r="283">
          <cell r="D283" t="str">
            <v xml:space="preserve">1.)  
2.) 
3.)   
4.) </v>
          </cell>
        </row>
        <row r="284">
          <cell r="D284" t="str">
            <v xml:space="preserve">1.)  
2.) 
3.)   
4.) </v>
          </cell>
        </row>
        <row r="285">
          <cell r="D285" t="str">
            <v xml:space="preserve">1.)  
2.) 
3.)   
4.) </v>
          </cell>
        </row>
        <row r="286">
          <cell r="D286" t="str">
            <v xml:space="preserve">1.)  
2.) 
3.)   
4.) </v>
          </cell>
        </row>
        <row r="287">
          <cell r="D287" t="str">
            <v xml:space="preserve">1.)  
2.) 
3.)   
4.) </v>
          </cell>
        </row>
        <row r="288">
          <cell r="D288" t="str">
            <v xml:space="preserve">1.)  
2.) 
3.)   
4.) </v>
          </cell>
        </row>
      </sheetData>
      <sheetData sheetId="2">
        <row r="3">
          <cell r="F3" t="str">
            <v>CAPITAL INVESTMENT</v>
          </cell>
        </row>
        <row r="4">
          <cell r="F4" t="str">
            <v>Purchase/Acquisition of Land</v>
          </cell>
          <cell r="G4">
            <v>23010101</v>
          </cell>
        </row>
        <row r="5">
          <cell r="F5" t="str">
            <v>Purchase of Office Buildings</v>
          </cell>
          <cell r="G5">
            <v>23010102</v>
          </cell>
        </row>
        <row r="6">
          <cell r="F6" t="str">
            <v>Purchase of Residential Buildings</v>
          </cell>
          <cell r="G6">
            <v>23010103</v>
          </cell>
        </row>
        <row r="7">
          <cell r="F7" t="str">
            <v>Purchase of Motor Cycles</v>
          </cell>
          <cell r="G7">
            <v>23010104</v>
          </cell>
        </row>
        <row r="8">
          <cell r="F8" t="str">
            <v>Purchase of Motor Vehicles</v>
          </cell>
          <cell r="G8">
            <v>23010105</v>
          </cell>
        </row>
        <row r="9">
          <cell r="F9" t="str">
            <v>Purchase of Vans</v>
          </cell>
          <cell r="G9">
            <v>23010106</v>
          </cell>
        </row>
        <row r="10">
          <cell r="F10" t="str">
            <v>Purchase of Trucks</v>
          </cell>
          <cell r="G10">
            <v>23010107</v>
          </cell>
        </row>
        <row r="11">
          <cell r="F11" t="str">
            <v>Purchase of Buses</v>
          </cell>
          <cell r="G11">
            <v>23010108</v>
          </cell>
        </row>
        <row r="12">
          <cell r="F12" t="str">
            <v>Purchase of Sea Boats</v>
          </cell>
          <cell r="G12">
            <v>23010109</v>
          </cell>
        </row>
        <row r="13">
          <cell r="F13" t="str">
            <v>Purchase of Ships</v>
          </cell>
          <cell r="G13">
            <v>23010110</v>
          </cell>
        </row>
        <row r="14">
          <cell r="F14" t="str">
            <v>Purchase of Trains</v>
          </cell>
          <cell r="G14">
            <v>23010111</v>
          </cell>
        </row>
        <row r="15">
          <cell r="F15" t="str">
            <v>Purchase of Office Furniture and Fittings</v>
          </cell>
          <cell r="G15">
            <v>23010112</v>
          </cell>
        </row>
        <row r="16">
          <cell r="F16" t="str">
            <v>Purchase of Computers</v>
          </cell>
          <cell r="G16">
            <v>23010113</v>
          </cell>
        </row>
        <row r="17">
          <cell r="F17" t="str">
            <v>Purchase of Computer Printers</v>
          </cell>
          <cell r="G17">
            <v>23010114</v>
          </cell>
        </row>
        <row r="18">
          <cell r="F18" t="str">
            <v>Purchase of Photocopying Machines</v>
          </cell>
          <cell r="G18">
            <v>23010115</v>
          </cell>
        </row>
        <row r="19">
          <cell r="F19" t="str">
            <v>Purchase of Typewriter</v>
          </cell>
          <cell r="G19">
            <v>23010116</v>
          </cell>
        </row>
        <row r="20">
          <cell r="F20" t="str">
            <v>Purchase of  Shredding Machines</v>
          </cell>
          <cell r="G20">
            <v>23010117</v>
          </cell>
        </row>
        <row r="21">
          <cell r="F21" t="str">
            <v>Purchase of Scanners</v>
          </cell>
          <cell r="G21">
            <v>23010118</v>
          </cell>
        </row>
        <row r="22">
          <cell r="F22" t="str">
            <v>Purchase of Powers Generating Set</v>
          </cell>
          <cell r="G22">
            <v>23010119</v>
          </cell>
        </row>
        <row r="23">
          <cell r="F23" t="str">
            <v>Purchase of Canteen/Kitchen Equipment</v>
          </cell>
          <cell r="G23">
            <v>23010120</v>
          </cell>
        </row>
        <row r="24">
          <cell r="F24" t="str">
            <v>Purchase of Residential Furniture</v>
          </cell>
          <cell r="G24">
            <v>23010121</v>
          </cell>
        </row>
        <row r="25">
          <cell r="F25" t="str">
            <v>Purchase of Health/Medical Equipment</v>
          </cell>
          <cell r="G25">
            <v>23010122</v>
          </cell>
        </row>
        <row r="26">
          <cell r="F26" t="str">
            <v>Purchase of Fire Fighting Equipment</v>
          </cell>
          <cell r="G26">
            <v>23010123</v>
          </cell>
        </row>
        <row r="27">
          <cell r="F27" t="str">
            <v>Purchase of Teaching/Learning Aid Equipment</v>
          </cell>
          <cell r="G27">
            <v>23010124</v>
          </cell>
        </row>
        <row r="28">
          <cell r="F28" t="str">
            <v>Purchase of Library Books &amp; Equipment</v>
          </cell>
          <cell r="G28">
            <v>23010125</v>
          </cell>
        </row>
        <row r="29">
          <cell r="F29" t="str">
            <v>Purchase of Sporting/Games Equipment</v>
          </cell>
          <cell r="G29">
            <v>23010126</v>
          </cell>
        </row>
        <row r="30">
          <cell r="F30" t="str">
            <v>Purchase of  Agriculture Equipment</v>
          </cell>
          <cell r="G30">
            <v>23010127</v>
          </cell>
        </row>
        <row r="31">
          <cell r="F31" t="str">
            <v>Purchase of Security Equipment</v>
          </cell>
          <cell r="G31">
            <v>23010128</v>
          </cell>
        </row>
        <row r="32">
          <cell r="F32" t="str">
            <v>Purchase of Industrial Equipment</v>
          </cell>
          <cell r="G32">
            <v>23010129</v>
          </cell>
        </row>
        <row r="33">
          <cell r="F33" t="str">
            <v>Purchase of Recreational Facilities</v>
          </cell>
          <cell r="G33">
            <v>23010130</v>
          </cell>
        </row>
        <row r="34">
          <cell r="F34" t="str">
            <v>Purchase of Air Navigational Equipment</v>
          </cell>
          <cell r="G34">
            <v>23010131</v>
          </cell>
        </row>
        <row r="35">
          <cell r="F35" t="str">
            <v>Purchase of Security Equipment</v>
          </cell>
          <cell r="G35">
            <v>23010132</v>
          </cell>
        </row>
        <row r="36">
          <cell r="F36" t="str">
            <v>Purchase of Surveying Equipment</v>
          </cell>
          <cell r="G36">
            <v>23010133</v>
          </cell>
        </row>
        <row r="37">
          <cell r="F37" t="str">
            <v>Purchase of Diving Equipment</v>
          </cell>
          <cell r="G37">
            <v>23010134</v>
          </cell>
        </row>
        <row r="38">
          <cell r="F38" t="str">
            <v>Purchase of Ship Spare/Maintenance</v>
          </cell>
          <cell r="G38">
            <v>23010137</v>
          </cell>
        </row>
        <row r="39">
          <cell r="F39" t="str">
            <v>Purchase of Aero Spares/Maintenance</v>
          </cell>
          <cell r="G39">
            <v>23010138</v>
          </cell>
        </row>
        <row r="40">
          <cell r="F40" t="str">
            <v>Construction/Provision of Office Buildings</v>
          </cell>
          <cell r="G40">
            <v>23020101</v>
          </cell>
        </row>
        <row r="41">
          <cell r="F41" t="str">
            <v>Construction/Provision of Residential Buildings</v>
          </cell>
          <cell r="G41">
            <v>23020102</v>
          </cell>
        </row>
        <row r="42">
          <cell r="F42" t="str">
            <v>Construction/Provision of Electricity</v>
          </cell>
          <cell r="G42">
            <v>23020103</v>
          </cell>
        </row>
        <row r="43">
          <cell r="F43" t="str">
            <v>Construction/Provision of Housing</v>
          </cell>
          <cell r="G43">
            <v>23020104</v>
          </cell>
        </row>
        <row r="44">
          <cell r="F44" t="str">
            <v>Construction/Provision of Water Facilities</v>
          </cell>
          <cell r="G44">
            <v>23020105</v>
          </cell>
        </row>
        <row r="45">
          <cell r="F45" t="str">
            <v>Construction/Provision of Hospitals/Health Centres</v>
          </cell>
          <cell r="G45">
            <v>23020106</v>
          </cell>
        </row>
        <row r="46">
          <cell r="F46" t="str">
            <v>Construction/Provision of Public Schools</v>
          </cell>
          <cell r="G46">
            <v>23020107</v>
          </cell>
        </row>
        <row r="47">
          <cell r="F47" t="str">
            <v>Construction/Provision of Fire Fighting Stations</v>
          </cell>
          <cell r="G47">
            <v>23020110</v>
          </cell>
        </row>
        <row r="48">
          <cell r="F48" t="str">
            <v>Construction/Provision of Libraries</v>
          </cell>
          <cell r="G48">
            <v>23020111</v>
          </cell>
        </row>
        <row r="49">
          <cell r="F49" t="str">
            <v>Construction/Provision of Sporting Facilities</v>
          </cell>
          <cell r="G49">
            <v>23020112</v>
          </cell>
        </row>
        <row r="50">
          <cell r="F50" t="str">
            <v>Construction/Provision of Agricultural Facilities</v>
          </cell>
          <cell r="G50">
            <v>23020113</v>
          </cell>
        </row>
        <row r="51">
          <cell r="F51" t="str">
            <v>Construction/Provision of Roads</v>
          </cell>
          <cell r="G51">
            <v>23020114</v>
          </cell>
        </row>
        <row r="52">
          <cell r="F52" t="str">
            <v>Construction/Provision of Railways</v>
          </cell>
          <cell r="G52">
            <v>23020115</v>
          </cell>
        </row>
        <row r="53">
          <cell r="F53" t="str">
            <v>Construction/Provision of Water ways</v>
          </cell>
          <cell r="G53">
            <v>23020116</v>
          </cell>
        </row>
        <row r="54">
          <cell r="F54" t="str">
            <v>Construction/Provision of Airport/Aerodromes</v>
          </cell>
          <cell r="G54">
            <v>23020117</v>
          </cell>
        </row>
        <row r="55">
          <cell r="F55" t="str">
            <v>Construction/Provision of Infrastructure</v>
          </cell>
          <cell r="G55">
            <v>23020118</v>
          </cell>
        </row>
        <row r="56">
          <cell r="F56" t="str">
            <v>Construction/Provision of Recreational Facilities</v>
          </cell>
          <cell r="G56">
            <v>23020119</v>
          </cell>
        </row>
        <row r="57">
          <cell r="F57" t="str">
            <v>Construction of Boundary Pillars/Right of Ways</v>
          </cell>
          <cell r="G57">
            <v>23020122</v>
          </cell>
        </row>
        <row r="58">
          <cell r="F58" t="str">
            <v>Construction of Traffic/Street Lights</v>
          </cell>
          <cell r="G58">
            <v>23020123</v>
          </cell>
        </row>
        <row r="59">
          <cell r="F59" t="str">
            <v>Construction of Markets/Parks</v>
          </cell>
          <cell r="G59">
            <v>23020124</v>
          </cell>
        </row>
        <row r="60">
          <cell r="F60" t="str">
            <v>Construction of Power Generating Plants</v>
          </cell>
          <cell r="G60">
            <v>23020125</v>
          </cell>
        </row>
        <row r="61">
          <cell r="F61" t="str">
            <v>Construction/Provision of Cemeteries</v>
          </cell>
          <cell r="G61">
            <v>23020126</v>
          </cell>
        </row>
        <row r="62">
          <cell r="F62" t="str">
            <v>Construction of ICT Infrastructures</v>
          </cell>
          <cell r="G62">
            <v>23020127</v>
          </cell>
        </row>
        <row r="63">
          <cell r="F63" t="str">
            <v>Rehabilitation/Repairs of Residential Building</v>
          </cell>
          <cell r="G63">
            <v>23030101</v>
          </cell>
        </row>
        <row r="64">
          <cell r="F64" t="str">
            <v>Rehabilitation/Repairs - Electricity</v>
          </cell>
          <cell r="G64">
            <v>23030102</v>
          </cell>
        </row>
        <row r="65">
          <cell r="F65" t="str">
            <v>Rehabilitation/Repairs - Housing</v>
          </cell>
          <cell r="G65">
            <v>23030103</v>
          </cell>
        </row>
        <row r="66">
          <cell r="F66" t="str">
            <v>Rehabilitation/Repairs - Water Facilities</v>
          </cell>
          <cell r="G66">
            <v>23030104</v>
          </cell>
        </row>
        <row r="67">
          <cell r="F67" t="str">
            <v>Rehabilitation/Repairs - Hospital/Health Centers</v>
          </cell>
          <cell r="G67">
            <v>23030105</v>
          </cell>
        </row>
        <row r="68">
          <cell r="F68" t="str">
            <v>Rehabilitation/Repairs - Public Schools</v>
          </cell>
          <cell r="G68">
            <v>23030106</v>
          </cell>
        </row>
        <row r="69">
          <cell r="F69" t="str">
            <v>Rehabilitation/Repairs - Fire Fighting Stations</v>
          </cell>
          <cell r="G69">
            <v>23030109</v>
          </cell>
        </row>
        <row r="70">
          <cell r="F70" t="str">
            <v>Rehabilitation/Repairs - Libraries</v>
          </cell>
          <cell r="G70">
            <v>23030110</v>
          </cell>
        </row>
        <row r="71">
          <cell r="F71" t="str">
            <v>Rehabilitation/Repairs - Sporting Facilities</v>
          </cell>
          <cell r="G71">
            <v>23030111</v>
          </cell>
        </row>
        <row r="72">
          <cell r="F72" t="str">
            <v>Rehabilitation/Repairs - Agricultural Facilities</v>
          </cell>
          <cell r="G72">
            <v>23030112</v>
          </cell>
        </row>
        <row r="73">
          <cell r="F73" t="str">
            <v>Rehabilitation/Repairs - Roads</v>
          </cell>
          <cell r="G73">
            <v>23030113</v>
          </cell>
        </row>
        <row r="74">
          <cell r="F74" t="str">
            <v>Rehabilitation/Repairs - Railways</v>
          </cell>
          <cell r="G74">
            <v>23030114</v>
          </cell>
        </row>
        <row r="75">
          <cell r="F75" t="str">
            <v>Rehabilitation/Repairs - Waterway</v>
          </cell>
          <cell r="G75">
            <v>23030115</v>
          </cell>
        </row>
        <row r="76">
          <cell r="F76" t="str">
            <v>Rehabilitation/Repairs - Airport/Aerodromes</v>
          </cell>
          <cell r="G76">
            <v>23030116</v>
          </cell>
        </row>
        <row r="77">
          <cell r="F77" t="str">
            <v>Rehabilitation/Repairs - Recreational Facilities</v>
          </cell>
          <cell r="G77">
            <v>23030118</v>
          </cell>
        </row>
        <row r="78">
          <cell r="F78" t="str">
            <v>Rehabilitation/Repairs - Air Navigational Equipment</v>
          </cell>
          <cell r="G78">
            <v>23030119</v>
          </cell>
        </row>
        <row r="79">
          <cell r="F79" t="str">
            <v>Rehabilitation/Repairs of Office Buildings</v>
          </cell>
          <cell r="G79">
            <v>23030121</v>
          </cell>
        </row>
        <row r="80">
          <cell r="F80" t="str">
            <v>Rehabilitation/Repairs of Boundaries</v>
          </cell>
          <cell r="G80">
            <v>23030122</v>
          </cell>
        </row>
        <row r="81">
          <cell r="F81" t="str">
            <v>Rehabilitation/Repairs - Traffic/Street Lights</v>
          </cell>
          <cell r="G81">
            <v>23030123</v>
          </cell>
        </row>
        <row r="82">
          <cell r="F82" t="str">
            <v>Rehabilitation/Repairs - Markets/Parks</v>
          </cell>
          <cell r="G82">
            <v>23030124</v>
          </cell>
        </row>
        <row r="83">
          <cell r="F83" t="str">
            <v>Rehabilitation/Repairs - Power Generating Plants</v>
          </cell>
          <cell r="G83">
            <v>23030125</v>
          </cell>
        </row>
        <row r="84">
          <cell r="F84" t="str">
            <v>Rehabilitation/Repairs of Cemeteries</v>
          </cell>
          <cell r="G84">
            <v>23030126</v>
          </cell>
        </row>
        <row r="85">
          <cell r="F85" t="str">
            <v>Rehabilitation/Repairs - ICT Infrastructures</v>
          </cell>
          <cell r="G85">
            <v>23030127</v>
          </cell>
        </row>
        <row r="86">
          <cell r="F86" t="str">
            <v>Tree Planting</v>
          </cell>
          <cell r="G86">
            <v>23040101</v>
          </cell>
        </row>
        <row r="87">
          <cell r="F87" t="str">
            <v>Erosion &amp; Flood Control</v>
          </cell>
          <cell r="G87">
            <v>23040102</v>
          </cell>
        </row>
        <row r="88">
          <cell r="F88" t="str">
            <v>Wildlife Conservation</v>
          </cell>
          <cell r="G88">
            <v>23040103</v>
          </cell>
        </row>
        <row r="89">
          <cell r="F89" t="str">
            <v>Industrial Pollution Preservation &amp; Control</v>
          </cell>
          <cell r="G89">
            <v>23040104</v>
          </cell>
        </row>
        <row r="90">
          <cell r="F90" t="str">
            <v>Water Pollution Prevention &amp; Control</v>
          </cell>
          <cell r="G90">
            <v>23040105</v>
          </cell>
        </row>
        <row r="91">
          <cell r="F91" t="str">
            <v>Research and Development</v>
          </cell>
          <cell r="G91">
            <v>23050101</v>
          </cell>
        </row>
        <row r="92">
          <cell r="F92" t="str">
            <v>Computer Software Acquisition</v>
          </cell>
          <cell r="G92">
            <v>23050102</v>
          </cell>
        </row>
        <row r="93">
          <cell r="F93" t="str">
            <v>Monitoring and Evaluation</v>
          </cell>
          <cell r="G93">
            <v>23050103</v>
          </cell>
        </row>
        <row r="94">
          <cell r="F94" t="str">
            <v>Anniversaries/Celebration</v>
          </cell>
          <cell r="G94">
            <v>23050104</v>
          </cell>
        </row>
        <row r="95">
          <cell r="F95" t="str">
            <v>Margin for Increase in Costs</v>
          </cell>
          <cell r="G95">
            <v>23050107</v>
          </cell>
        </row>
      </sheetData>
      <sheetData sheetId="3">
        <row r="1">
          <cell r="A1" t="str">
            <v>STEP Four</v>
          </cell>
        </row>
        <row r="5">
          <cell r="A5" t="str">
            <v>Provision of 250,000kg of quality seeds each of six commodities of comparative advantage (Anchor Borrowers Scheme- Central Bank of Nigeria)</v>
          </cell>
        </row>
        <row r="7">
          <cell r="A7" t="str">
            <v>Multi-Year Budget Sub Activities</v>
          </cell>
        </row>
        <row r="8">
          <cell r="A8" t="str">
            <v xml:space="preserve"> Market Survey analysis</v>
          </cell>
        </row>
        <row r="9">
          <cell r="A9" t="str">
            <v>Quality seeds Procurements</v>
          </cell>
        </row>
        <row r="15">
          <cell r="A15" t="str">
            <v xml:space="preserve">Distribution of the seeds </v>
          </cell>
        </row>
        <row r="19">
          <cell r="A19" t="str">
            <v>Awareness Campagne</v>
          </cell>
        </row>
        <row r="26">
          <cell r="A26" t="str">
            <v>1.1.1 Sub total Year One</v>
          </cell>
        </row>
        <row r="33">
          <cell r="A33" t="str">
            <v>Collaboration with Leventis Foundation (Agric School)</v>
          </cell>
        </row>
        <row r="35">
          <cell r="A35" t="str">
            <v>Multi-Year Budget Sub Activities</v>
          </cell>
        </row>
        <row r="36">
          <cell r="A36" t="str">
            <v xml:space="preserve">Provide Financial Support to Leventis Foundation (Agric School) </v>
          </cell>
        </row>
        <row r="57">
          <cell r="A57" t="str">
            <v>1.2.1 Sub total Year One</v>
          </cell>
        </row>
        <row r="64">
          <cell r="A64" t="str">
            <v>Fertilizer Operation</v>
          </cell>
        </row>
        <row r="66">
          <cell r="A66" t="str">
            <v>Multi-Year Budget Sub Activities</v>
          </cell>
        </row>
        <row r="67">
          <cell r="A67" t="str">
            <v>Fertilizer Storage and Distribution</v>
          </cell>
        </row>
        <row r="72">
          <cell r="A72" t="str">
            <v>1.2.2 Sub total Year One</v>
          </cell>
        </row>
        <row r="79">
          <cell r="A79" t="str">
            <v xml:space="preserve">Continuous support to Agricultural Research Institutions </v>
          </cell>
        </row>
        <row r="81">
          <cell r="A81" t="str">
            <v>Multi-Year Budget Sub Activities</v>
          </cell>
        </row>
        <row r="82">
          <cell r="A82" t="str">
            <v xml:space="preserve">Institution Financial support </v>
          </cell>
        </row>
        <row r="91">
          <cell r="A91" t="str">
            <v>1.2.3 Sub total Year One</v>
          </cell>
        </row>
        <row r="98">
          <cell r="A98" t="str">
            <v>Participation in the National Council on Agriculture and Rural Development</v>
          </cell>
        </row>
        <row r="100">
          <cell r="A100" t="str">
            <v>Multi-Year Budget Sub Activities</v>
          </cell>
        </row>
        <row r="101">
          <cell r="A101" t="str">
            <v xml:space="preserve"> Attend annual national council on agriculture</v>
          </cell>
        </row>
        <row r="113">
          <cell r="A113" t="str">
            <v>1.2.4 Sub total Year One</v>
          </cell>
        </row>
        <row r="121">
          <cell r="A121" t="str">
            <v>Staff Capacity enhancement</v>
          </cell>
        </row>
        <row r="123">
          <cell r="A123" t="str">
            <v>Multi-Year Budget Sub Activities</v>
          </cell>
        </row>
        <row r="124">
          <cell r="A124" t="str">
            <v>Staff Capacity Development</v>
          </cell>
        </row>
        <row r="126">
          <cell r="A126" t="str">
            <v>In House retreat and team bonding</v>
          </cell>
        </row>
        <row r="127">
          <cell r="A127" t="str">
            <v>1. (Directors/DD)</v>
          </cell>
        </row>
        <row r="134">
          <cell r="A134" t="str">
            <v>2. Selected Staff</v>
          </cell>
        </row>
        <row r="142">
          <cell r="A142" t="str">
            <v xml:space="preserve"> 2017 SIP Review Retreat</v>
          </cell>
        </row>
        <row r="143">
          <cell r="A143" t="str">
            <v>1. Stearing and Technical Section</v>
          </cell>
        </row>
        <row r="146">
          <cell r="A146" t="str">
            <v>2. Stake holder two days Input Workshop</v>
          </cell>
        </row>
        <row r="156">
          <cell r="A156" t="str">
            <v>3. SIP two days  Report Writing Retreat</v>
          </cell>
        </row>
        <row r="162">
          <cell r="A162" t="str">
            <v>2017-2019 MYB Preparation</v>
          </cell>
        </row>
        <row r="163">
          <cell r="A163" t="str">
            <v>1. Stearing and Technical Section</v>
          </cell>
        </row>
        <row r="167">
          <cell r="A167" t="str">
            <v>2. MYB Five days  Report Writing Retreat</v>
          </cell>
        </row>
        <row r="174">
          <cell r="A174" t="str">
            <v>Competitive Service Delievary Monthly Staff Recognition Reward</v>
          </cell>
        </row>
        <row r="197">
          <cell r="A197" t="str">
            <v>1.2.5 Sub total Year One</v>
          </cell>
        </row>
        <row r="204">
          <cell r="A204" t="str">
            <v>Effective administrative operation</v>
          </cell>
        </row>
        <row r="206">
          <cell r="A206" t="str">
            <v>Multi-Year Budget Sub Activities</v>
          </cell>
        </row>
        <row r="207">
          <cell r="A207" t="str">
            <v>Conduct In House IT Workshop for the PAs, Registries, Technical staff</v>
          </cell>
        </row>
        <row r="215">
          <cell r="A215" t="str">
            <v xml:space="preserve">Reorganisation of Directorates/registeries </v>
          </cell>
        </row>
        <row r="220">
          <cell r="A220" t="str">
            <v>Purchase of stationary/Printing of the official Document</v>
          </cell>
        </row>
        <row r="237">
          <cell r="A237" t="str">
            <v xml:space="preserve"> Office Routing Maintanance  </v>
          </cell>
        </row>
        <row r="253">
          <cell r="A253" t="str">
            <v>1.2.6 Sub total Year One</v>
          </cell>
        </row>
        <row r="260">
          <cell r="A260" t="str">
            <v>Improve Service delivery</v>
          </cell>
        </row>
        <row r="262">
          <cell r="A262" t="str">
            <v>Multi-Year Budget Sub Activities</v>
          </cell>
        </row>
        <row r="263">
          <cell r="A263" t="str">
            <v>Staff capacity development on effective Service Delivery</v>
          </cell>
        </row>
        <row r="265">
          <cell r="A265" t="str">
            <v>Monthly/Daily Routing Payment  Activities</v>
          </cell>
        </row>
        <row r="272">
          <cell r="A272" t="str">
            <v>Conduct Routing Official Meeting</v>
          </cell>
        </row>
        <row r="277">
          <cell r="A277" t="str">
            <v>Media Interaction</v>
          </cell>
        </row>
        <row r="285">
          <cell r="A285" t="str">
            <v>1.2.7 Sub total Year One</v>
          </cell>
        </row>
        <row r="292">
          <cell r="A292" t="str">
            <v>Advocacy and Sensitization to the Public</v>
          </cell>
        </row>
        <row r="294">
          <cell r="A294" t="str">
            <v>Multi-Year Budget Sub Activities</v>
          </cell>
        </row>
        <row r="295">
          <cell r="A295" t="str">
            <v>Visits To LGA and traditional rulers</v>
          </cell>
        </row>
        <row r="296">
          <cell r="A296" t="str">
            <v>Printing of Flyiers</v>
          </cell>
        </row>
        <row r="297">
          <cell r="A297" t="str">
            <v xml:space="preserve">Annoucement </v>
          </cell>
        </row>
        <row r="298">
          <cell r="A298" t="str">
            <v>Media Jingles</v>
          </cell>
        </row>
        <row r="299">
          <cell r="A299" t="str">
            <v>Radio Charts</v>
          </cell>
        </row>
        <row r="300">
          <cell r="A300" t="str">
            <v>Demonstration</v>
          </cell>
        </row>
        <row r="303">
          <cell r="A303" t="str">
            <v>1.2.8 Sub total Year One</v>
          </cell>
        </row>
        <row r="310">
          <cell r="A310" t="str">
            <v>Shelterbelt Management</v>
          </cell>
        </row>
        <row r="312">
          <cell r="A312" t="str">
            <v>Multi-Year Budget Sub Activities</v>
          </cell>
        </row>
        <row r="313">
          <cell r="A313" t="str">
            <v>Nuseries Preparation/Activities</v>
          </cell>
        </row>
        <row r="357">
          <cell r="A357" t="str">
            <v>Forest Management Reserve</v>
          </cell>
        </row>
        <row r="369">
          <cell r="A369" t="str">
            <v>Watershed Management</v>
          </cell>
        </row>
        <row r="374">
          <cell r="A374" t="str">
            <v>Establish Woodlot/Orchard Plantation in 5 LGAs (Ikara to B/Gwari)</v>
          </cell>
        </row>
        <row r="401">
          <cell r="A401" t="str">
            <v>1.2.9 Sub total Year One</v>
          </cell>
        </row>
        <row r="409">
          <cell r="A409" t="str">
            <v>Domicile GAP/GHP through Parternership/consultant</v>
          </cell>
        </row>
        <row r="411">
          <cell r="A411" t="str">
            <v>Multi-Year Budget Sub Activities</v>
          </cell>
        </row>
        <row r="412">
          <cell r="A412" t="str">
            <v>GAP Analysis for 3 centres</v>
          </cell>
        </row>
        <row r="413">
          <cell r="A413" t="str">
            <v>Capacity training on Good Agricultural Practices</v>
          </cell>
        </row>
        <row r="416">
          <cell r="A416" t="str">
            <v>Consultancy</v>
          </cell>
        </row>
        <row r="421">
          <cell r="A421" t="str">
            <v>Monitoring</v>
          </cell>
        </row>
        <row r="424">
          <cell r="A424" t="str">
            <v>1.3.1 Sub total Year One</v>
          </cell>
        </row>
        <row r="431">
          <cell r="A431" t="str">
            <v>Renovation of Engineering outstation/ Procurement of Agricultural Equipment</v>
          </cell>
        </row>
        <row r="433">
          <cell r="A433" t="str">
            <v>Multi-Year Budget Sub Activities</v>
          </cell>
        </row>
        <row r="434">
          <cell r="A434" t="str">
            <v>Preliminary Activities for the Rehabilitation  of Engineering out station structures</v>
          </cell>
        </row>
        <row r="437">
          <cell r="A437" t="str">
            <v>Rehabilitation of Engineering out station structures</v>
          </cell>
        </row>
        <row r="439">
          <cell r="A439" t="str">
            <v>Purchase of mechanical workshop equipments</v>
          </cell>
        </row>
        <row r="446">
          <cell r="A446" t="str">
            <v>Purchase and Distribution of Handtiller machine</v>
          </cell>
        </row>
        <row r="447">
          <cell r="A447" t="str">
            <v>Sensitization/Distribution of the Handtiller Machines</v>
          </cell>
        </row>
        <row r="457">
          <cell r="A457" t="str">
            <v>1.3.2 Sub total Year One</v>
          </cell>
        </row>
        <row r="464">
          <cell r="A464" t="str">
            <v>Renovation of Engineering outstation/ Procurement of Agricultural Equipment</v>
          </cell>
        </row>
        <row r="466">
          <cell r="A466" t="str">
            <v>Multi-Year Budget Sub Activities</v>
          </cell>
        </row>
        <row r="475">
          <cell r="A475" t="str">
            <v>1.3.2 Sub total Year One</v>
          </cell>
        </row>
        <row r="482">
          <cell r="A482" t="str">
            <v>Establishment of Meat Regulatory Agency</v>
          </cell>
        </row>
        <row r="484">
          <cell r="A484" t="str">
            <v>Multi-Year Budget Sub Activities</v>
          </cell>
        </row>
        <row r="485">
          <cell r="A485" t="str">
            <v>Construction of office building</v>
          </cell>
        </row>
        <row r="487">
          <cell r="A487" t="str">
            <v>Purhase of Office Equipment</v>
          </cell>
        </row>
        <row r="489">
          <cell r="A489" t="str">
            <v>Purchase of quality control Equipment</v>
          </cell>
        </row>
        <row r="490">
          <cell r="A490" t="str">
            <v>Capacity Building</v>
          </cell>
        </row>
        <row r="493">
          <cell r="A493" t="str">
            <v>1.3.4 Sub total Year One</v>
          </cell>
        </row>
        <row r="500">
          <cell r="A500" t="str">
            <v>Formation of Public Health Emergency Response Committee</v>
          </cell>
        </row>
        <row r="502">
          <cell r="A502" t="str">
            <v>Multi-Year Budget Sub Activities</v>
          </cell>
        </row>
        <row r="503">
          <cell r="A503" t="str">
            <v>Office accomodation</v>
          </cell>
        </row>
        <row r="506">
          <cell r="A506" t="str">
            <v>Response to Outbreaks</v>
          </cell>
        </row>
        <row r="511">
          <cell r="A511" t="str">
            <v>1.3.5 Sub total Year One</v>
          </cell>
        </row>
        <row r="519">
          <cell r="A519" t="str">
            <v>Purchase of 3 No cold storage facility (solar energy)</v>
          </cell>
        </row>
        <row r="521">
          <cell r="A521" t="str">
            <v>Multi-Year Budget Sub Activities</v>
          </cell>
        </row>
        <row r="522">
          <cell r="A522" t="str">
            <v>Preliminary Activities of Solar Powered Cold Storage facility</v>
          </cell>
        </row>
        <row r="523">
          <cell r="A523" t="str">
            <v>Purchase and Installation of Solar Powered Cold Storage facility</v>
          </cell>
        </row>
        <row r="528">
          <cell r="A528" t="str">
            <v>Training/Site Demonstration of Solar Powered Cold Storage facility</v>
          </cell>
        </row>
        <row r="542">
          <cell r="A542" t="str">
            <v>1.3.6 Sub total Year One</v>
          </cell>
        </row>
        <row r="549">
          <cell r="A549" t="str">
            <v>PPP with Ollam in the Poultry Value Chain</v>
          </cell>
        </row>
        <row r="551">
          <cell r="A551" t="str">
            <v>Multi-Year Budget Sub Activities</v>
          </cell>
        </row>
        <row r="552">
          <cell r="A552" t="str">
            <v>Formation of poultry Farmer's clusters</v>
          </cell>
        </row>
        <row r="553">
          <cell r="A553" t="str">
            <v>Capacity Building</v>
          </cell>
        </row>
        <row r="555">
          <cell r="A555" t="str">
            <v>Supervision</v>
          </cell>
        </row>
        <row r="556">
          <cell r="A556" t="str">
            <v>Logistic</v>
          </cell>
        </row>
        <row r="560">
          <cell r="A560" t="str">
            <v>1.3.7 Sub total Year One</v>
          </cell>
        </row>
        <row r="567">
          <cell r="A567" t="str">
            <v>Strengthen the School of Livestock Training (PPU) Kawo Kaduna</v>
          </cell>
        </row>
        <row r="569">
          <cell r="A569" t="str">
            <v>Multi-Year Budget Sub Activities</v>
          </cell>
        </row>
        <row r="570">
          <cell r="A570" t="str">
            <v xml:space="preserve"> Construction of buildings </v>
          </cell>
        </row>
        <row r="587">
          <cell r="A587" t="str">
            <v>1.3.8 Sub total Year One</v>
          </cell>
        </row>
        <row r="594">
          <cell r="A594" t="str">
            <v>Improvement of indigenous breeds through Cross Breeding</v>
          </cell>
        </row>
        <row r="596">
          <cell r="A596" t="str">
            <v>Multi-Year Budget Sub Activities</v>
          </cell>
        </row>
        <row r="597">
          <cell r="A597" t="str">
            <v>Purchase of Artificial Insemination equipment</v>
          </cell>
        </row>
        <row r="603">
          <cell r="A603" t="str">
            <v>Purchase of Improved Semen</v>
          </cell>
        </row>
        <row r="606">
          <cell r="A606" t="str">
            <v xml:space="preserve">Training of Inseminators </v>
          </cell>
        </row>
        <row r="610">
          <cell r="A610" t="str">
            <v>Sensitization and enlightement</v>
          </cell>
        </row>
        <row r="615">
          <cell r="A615" t="str">
            <v>1.3.9 Sub total Year One</v>
          </cell>
        </row>
        <row r="622">
          <cell r="A622" t="str">
            <v xml:space="preserve">Provide financial support to commodity value Chain Development </v>
          </cell>
        </row>
        <row r="624">
          <cell r="A624" t="str">
            <v>Multi-Year Budget Sub Activities</v>
          </cell>
        </row>
        <row r="625">
          <cell r="A625" t="str">
            <v>sensitization</v>
          </cell>
        </row>
        <row r="627">
          <cell r="A627" t="str">
            <v>Agricultural loan to farmers</v>
          </cell>
        </row>
        <row r="628">
          <cell r="A628" t="str">
            <v>Price stabilization for farmers</v>
          </cell>
        </row>
        <row r="629">
          <cell r="A629" t="str">
            <v>Monitoring and Evaluation</v>
          </cell>
        </row>
        <row r="633">
          <cell r="A633" t="str">
            <v>1.4.1 Sub total Year One</v>
          </cell>
        </row>
        <row r="641">
          <cell r="A641" t="str">
            <v>Provision of 25% Insurance Premium Subsidy toFarmers.</v>
          </cell>
        </row>
        <row r="643">
          <cell r="A643" t="str">
            <v>Multi-Year Budget Sub Activities</v>
          </cell>
        </row>
        <row r="644">
          <cell r="A644" t="str">
            <v>Provision of 25% Insurance Premium Subsidy toFarmers.</v>
          </cell>
        </row>
        <row r="652">
          <cell r="A652" t="str">
            <v>1.4.2 Sub total Year One</v>
          </cell>
        </row>
        <row r="659">
          <cell r="A659" t="str">
            <v>Rehabilitation of State own irrigation scheme across the state</v>
          </cell>
        </row>
        <row r="661">
          <cell r="A661" t="str">
            <v>Multi-Year Budget Sub Activities</v>
          </cell>
        </row>
        <row r="662">
          <cell r="A662" t="str">
            <v>Premilinaries</v>
          </cell>
        </row>
        <row r="674">
          <cell r="A674" t="str">
            <v>Sensitization</v>
          </cell>
        </row>
        <row r="679">
          <cell r="A679" t="str">
            <v>Development of Irrigation Structure</v>
          </cell>
        </row>
        <row r="680">
          <cell r="A680" t="str">
            <v>Construction of (4.0)m width access road</v>
          </cell>
        </row>
        <row r="695">
          <cell r="A695" t="str">
            <v>1.4.3 Sub total Year One</v>
          </cell>
        </row>
        <row r="702">
          <cell r="A702" t="str">
            <v>Production of Fingerlings</v>
          </cell>
        </row>
        <row r="704">
          <cell r="A704" t="str">
            <v>Multi-Year Budget Sub Activities</v>
          </cell>
        </row>
        <row r="705">
          <cell r="A705" t="str">
            <v>Preliminary Survey and selection of suitable locations</v>
          </cell>
        </row>
        <row r="709">
          <cell r="A709" t="str">
            <v>Stocking of varieties of Fish</v>
          </cell>
        </row>
        <row r="723">
          <cell r="A723" t="str">
            <v>1.4.4 Sub total Year One</v>
          </cell>
        </row>
        <row r="730">
          <cell r="A730" t="str">
            <v xml:space="preserve">Advocacy and sensitization </v>
          </cell>
        </row>
        <row r="732">
          <cell r="A732" t="str">
            <v>Multi-Year Budget Sub Activities</v>
          </cell>
        </row>
        <row r="733">
          <cell r="A733" t="str">
            <v>Sensitization on Cooperative Clusterization</v>
          </cell>
        </row>
        <row r="736">
          <cell r="A736" t="str">
            <v>Advocacy Meetings on cooperative clusterization</v>
          </cell>
        </row>
        <row r="745">
          <cell r="A745" t="str">
            <v>Seminars on Cooperative Clusterization For the Cooperative Officials</v>
          </cell>
        </row>
        <row r="756">
          <cell r="A756" t="str">
            <v>1.4.5 Sub total Year One</v>
          </cell>
        </row>
        <row r="763">
          <cell r="A763" t="str">
            <v>Restructuring of Cooperative Activities</v>
          </cell>
        </row>
        <row r="765">
          <cell r="A765" t="str">
            <v>Multi-Year Budget Sub Activities</v>
          </cell>
        </row>
        <row r="766">
          <cell r="A766" t="str">
            <v>Redesigning and Printing of Cooperative Materials</v>
          </cell>
        </row>
        <row r="779">
          <cell r="A779" t="str">
            <v>1.4.6 Sub total Year One</v>
          </cell>
        </row>
        <row r="787">
          <cell r="A787" t="str">
            <v>Establishment of cooperative Financing Agency</v>
          </cell>
        </row>
        <row r="789">
          <cell r="A789" t="str">
            <v>Multi-Year Budget Sub Activities</v>
          </cell>
        </row>
        <row r="790">
          <cell r="A790" t="str">
            <v>Enlightment Campagne On Clusterization and Cooperative Federation</v>
          </cell>
        </row>
        <row r="794">
          <cell r="A794" t="str">
            <v>Workshop On Cooperative activities cooperative officials</v>
          </cell>
        </row>
        <row r="803">
          <cell r="A803" t="str">
            <v>Set up Cooperative Commission</v>
          </cell>
        </row>
        <row r="809">
          <cell r="A809" t="str">
            <v>Establish organised Cooperative Federation</v>
          </cell>
        </row>
        <row r="812">
          <cell r="A812" t="str">
            <v>Cooperative staff/official Capacity building on Cluster management</v>
          </cell>
        </row>
        <row r="822">
          <cell r="A822" t="str">
            <v>1.4.7 Sub total Year One</v>
          </cell>
        </row>
        <row r="829">
          <cell r="A829" t="str">
            <v>Rehabilitation of cooperative institute Ikara</v>
          </cell>
        </row>
        <row r="831">
          <cell r="A831" t="str">
            <v>Multi-Year Budget Sub Activities</v>
          </cell>
        </row>
        <row r="832">
          <cell r="A832" t="str">
            <v>Renovation of Building Blocks</v>
          </cell>
        </row>
        <row r="836">
          <cell r="A836" t="str">
            <v>Procurement of Equipment</v>
          </cell>
        </row>
        <row r="852">
          <cell r="A852" t="str">
            <v>1.4.8 Sub total Year One</v>
          </cell>
        </row>
        <row r="859">
          <cell r="A859" t="str">
            <v>Annual Livestock Vaccination Activities</v>
          </cell>
        </row>
        <row r="861">
          <cell r="A861" t="str">
            <v>Multi-Year Budget Sub Activities</v>
          </cell>
        </row>
        <row r="862">
          <cell r="A862" t="str">
            <v>Purchase of vaccines</v>
          </cell>
        </row>
        <row r="880">
          <cell r="A880" t="str">
            <v>Immunization Campaign</v>
          </cell>
        </row>
        <row r="898">
          <cell r="A898" t="str">
            <v>Distribution of vaccines</v>
          </cell>
        </row>
        <row r="903">
          <cell r="A903" t="str">
            <v>1.4.9 Sub total Year One</v>
          </cell>
        </row>
        <row r="910">
          <cell r="A910" t="str">
            <v>Procurement of chemicals &amp; Equipment for Prevention of Disease Outbreak</v>
          </cell>
        </row>
        <row r="912">
          <cell r="A912" t="str">
            <v>Multi-Year Budget Sub Activities</v>
          </cell>
        </row>
        <row r="913">
          <cell r="A913" t="str">
            <v>Registration of Poultry Farms</v>
          </cell>
        </row>
        <row r="921">
          <cell r="A921" t="str">
            <v>Purchase of Chemicals</v>
          </cell>
        </row>
        <row r="927">
          <cell r="A927" t="str">
            <v>Purchase of equipment</v>
          </cell>
        </row>
        <row r="932">
          <cell r="A932" t="str">
            <v>Sensitization and Awareness</v>
          </cell>
        </row>
        <row r="939">
          <cell r="A939" t="str">
            <v>1.4.10 Sub total Year One</v>
          </cell>
        </row>
        <row r="946">
          <cell r="A946" t="str">
            <v>Development of Livestock Production Clusters</v>
          </cell>
        </row>
        <row r="948">
          <cell r="A948" t="str">
            <v>Multi-Year Budget Sub Activities</v>
          </cell>
        </row>
        <row r="949">
          <cell r="A949" t="str">
            <v xml:space="preserve">Construction of livestock Service Centres </v>
          </cell>
        </row>
        <row r="955">
          <cell r="A955" t="str">
            <v>Purchase of Equipment</v>
          </cell>
        </row>
        <row r="959">
          <cell r="A959" t="str">
            <v>Pasture Development</v>
          </cell>
        </row>
        <row r="960">
          <cell r="A960" t="str">
            <v>1.General Bill</v>
          </cell>
        </row>
        <row r="964">
          <cell r="A964" t="str">
            <v>2. Land Preparation</v>
          </cell>
        </row>
        <row r="971">
          <cell r="A971" t="str">
            <v>3.Inputs</v>
          </cell>
        </row>
        <row r="983">
          <cell r="A983" t="str">
            <v>Water Supply/Utilities</v>
          </cell>
        </row>
        <row r="990">
          <cell r="A990" t="str">
            <v>Tracing of Stock Route</v>
          </cell>
        </row>
        <row r="992">
          <cell r="A992" t="str">
            <v>1.5.1 Sub total Year One</v>
          </cell>
        </row>
        <row r="1000">
          <cell r="A1000" t="str">
            <v>Rehabilitation/Equipment /Maintenance of 75 warehouses</v>
          </cell>
        </row>
        <row r="1002">
          <cell r="A1002" t="str">
            <v>Multi-Year Budget Sub Activities</v>
          </cell>
        </row>
        <row r="1003">
          <cell r="A1003" t="str">
            <v>Development of Bill of Quantities for the renovation and construction of warehouses</v>
          </cell>
        </row>
        <row r="1007">
          <cell r="A1007" t="str">
            <v>Renovation of existing warehouses</v>
          </cell>
        </row>
        <row r="1009">
          <cell r="A1009" t="str">
            <v>Equip Existing Warehouse</v>
          </cell>
        </row>
        <row r="1015">
          <cell r="A1015" t="str">
            <v>1.5.2 Sub total Year One</v>
          </cell>
        </row>
        <row r="1022">
          <cell r="A1022" t="str">
            <v>Purchase of 3 No briquette machines</v>
          </cell>
        </row>
        <row r="1024">
          <cell r="A1024" t="str">
            <v>Multi-Year Budget Sub Activities</v>
          </cell>
        </row>
        <row r="1025">
          <cell r="A1025" t="str">
            <v>Preliminary Activities of Briquette Purchase</v>
          </cell>
        </row>
        <row r="1026">
          <cell r="A1026" t="str">
            <v>Purchase and Installation of the Briquette Machine</v>
          </cell>
        </row>
        <row r="1028">
          <cell r="A1028" t="str">
            <v xml:space="preserve">Training/Site Demonstration of the Briquette Machine  </v>
          </cell>
        </row>
        <row r="1039">
          <cell r="A1039" t="str">
            <v>1.5.3 Sub total Year One</v>
          </cell>
        </row>
        <row r="1046">
          <cell r="A1046" t="str">
            <v>Procure Demonstrating Equipment for the School of Home Economic</v>
          </cell>
        </row>
        <row r="1048">
          <cell r="A1048" t="str">
            <v>Multi-Year Budget Sub Activities</v>
          </cell>
        </row>
        <row r="1049">
          <cell r="A1049" t="str">
            <v>Purchase of School Equipments</v>
          </cell>
        </row>
        <row r="1050">
          <cell r="A1050" t="str">
            <v>Sensitization awareness at LGs</v>
          </cell>
        </row>
        <row r="1057">
          <cell r="A1057" t="str">
            <v>1.5.4 Sub total Year One</v>
          </cell>
        </row>
        <row r="1064">
          <cell r="A1064" t="str">
            <v>Enter activity Code first</v>
          </cell>
        </row>
        <row r="1066">
          <cell r="A1066" t="str">
            <v>Multi-Year Budget Sub Activities</v>
          </cell>
        </row>
        <row r="1075">
          <cell r="A1075" t="str">
            <v xml:space="preserve"> Sub total Year One</v>
          </cell>
        </row>
        <row r="1082">
          <cell r="A1082" t="str">
            <v>Enter activity Code first</v>
          </cell>
        </row>
        <row r="1084">
          <cell r="A1084" t="str">
            <v>Multi-Year Budget Sub Activities</v>
          </cell>
        </row>
        <row r="1093">
          <cell r="A1093" t="str">
            <v xml:space="preserve"> Sub total Year One</v>
          </cell>
        </row>
        <row r="1101">
          <cell r="A1101" t="str">
            <v>Enter activity Code first</v>
          </cell>
        </row>
        <row r="1103">
          <cell r="A1103" t="str">
            <v>Multi-Year Budget Sub Activities</v>
          </cell>
        </row>
        <row r="1112">
          <cell r="A1112" t="str">
            <v xml:space="preserve"> Sub total Year One</v>
          </cell>
        </row>
        <row r="1119">
          <cell r="A1119" t="str">
            <v>Enter activity Code first</v>
          </cell>
        </row>
        <row r="1121">
          <cell r="A1121" t="str">
            <v>Multi-Year Budget Sub Activities</v>
          </cell>
        </row>
        <row r="1130">
          <cell r="A1130" t="str">
            <v xml:space="preserve"> Sub total Year One</v>
          </cell>
        </row>
        <row r="1137">
          <cell r="A1137" t="str">
            <v>Enter activity Code first</v>
          </cell>
        </row>
        <row r="1139">
          <cell r="A1139" t="str">
            <v>Multi-Year Budget Sub Activities</v>
          </cell>
        </row>
        <row r="1148">
          <cell r="A1148" t="str">
            <v xml:space="preserve"> Sub total Year One</v>
          </cell>
        </row>
        <row r="1155">
          <cell r="A1155" t="str">
            <v>Enter activity Code first</v>
          </cell>
        </row>
        <row r="1157">
          <cell r="A1157" t="str">
            <v>Multi-Year Budget Sub Activities</v>
          </cell>
        </row>
        <row r="1166">
          <cell r="A1166" t="str">
            <v xml:space="preserve"> Sub total Year One</v>
          </cell>
        </row>
        <row r="1173">
          <cell r="A1173" t="str">
            <v>Enter activity Code first</v>
          </cell>
        </row>
        <row r="1175">
          <cell r="A1175" t="str">
            <v>Multi-Year Budget Sub Activities</v>
          </cell>
        </row>
        <row r="1184">
          <cell r="A1184" t="str">
            <v xml:space="preserve"> Sub total Year One</v>
          </cell>
        </row>
        <row r="1192">
          <cell r="A1192" t="str">
            <v>Enter activity Code first</v>
          </cell>
        </row>
        <row r="1194">
          <cell r="A1194" t="str">
            <v>Multi-Year Budget Sub Activities</v>
          </cell>
        </row>
        <row r="1203">
          <cell r="A1203" t="str">
            <v xml:space="preserve"> Sub total Year One</v>
          </cell>
        </row>
        <row r="1210">
          <cell r="A1210" t="str">
            <v>Enter activity Code first</v>
          </cell>
        </row>
        <row r="1212">
          <cell r="A1212" t="str">
            <v>Multi-Year Budget Sub Activities</v>
          </cell>
        </row>
        <row r="1221">
          <cell r="A1221" t="str">
            <v xml:space="preserve"> Sub total Year One</v>
          </cell>
        </row>
        <row r="1228">
          <cell r="A1228" t="str">
            <v>Enter activity Code first</v>
          </cell>
        </row>
        <row r="1230">
          <cell r="A1230" t="str">
            <v>Multi-Year Budget Sub Activities</v>
          </cell>
        </row>
        <row r="1239">
          <cell r="A1239" t="str">
            <v xml:space="preserve"> Sub total Year One</v>
          </cell>
        </row>
        <row r="1246">
          <cell r="A1246" t="str">
            <v>Enter activity Code first</v>
          </cell>
        </row>
        <row r="1248">
          <cell r="A1248" t="str">
            <v>Multi-Year Budget Sub Activities</v>
          </cell>
        </row>
        <row r="1257">
          <cell r="A1257" t="str">
            <v xml:space="preserve"> Sub total Year One</v>
          </cell>
        </row>
        <row r="1264">
          <cell r="A1264" t="str">
            <v>Enter activity Code first</v>
          </cell>
        </row>
        <row r="1266">
          <cell r="A1266" t="str">
            <v>Multi-Year Budget Sub Activities</v>
          </cell>
        </row>
        <row r="1275">
          <cell r="A1275" t="str">
            <v xml:space="preserve"> Sub total Year One</v>
          </cell>
        </row>
        <row r="1283">
          <cell r="A1283" t="str">
            <v>Enter activity Code first</v>
          </cell>
        </row>
        <row r="1285">
          <cell r="A1285" t="str">
            <v>Multi-Year Budget Sub Activities</v>
          </cell>
        </row>
        <row r="1294">
          <cell r="A1294" t="str">
            <v xml:space="preserve"> Sub total Year One</v>
          </cell>
        </row>
        <row r="1301">
          <cell r="A1301" t="str">
            <v>Enter activity Code first</v>
          </cell>
        </row>
        <row r="1303">
          <cell r="A1303" t="str">
            <v>Multi-Year Budget Sub Activities</v>
          </cell>
        </row>
        <row r="1312">
          <cell r="A1312" t="str">
            <v xml:space="preserve"> Sub total Year One</v>
          </cell>
        </row>
        <row r="1319">
          <cell r="A1319" t="str">
            <v>Enter activity Code first</v>
          </cell>
        </row>
        <row r="1321">
          <cell r="A1321" t="str">
            <v>Multi-Year Budget Sub Activities</v>
          </cell>
        </row>
        <row r="1330">
          <cell r="A1330" t="str">
            <v xml:space="preserve"> Sub total Year One</v>
          </cell>
        </row>
        <row r="1337">
          <cell r="A1337" t="str">
            <v>Enter activity Code first</v>
          </cell>
        </row>
        <row r="1339">
          <cell r="A1339" t="str">
            <v>Multi-Year Budget Sub Activities</v>
          </cell>
        </row>
        <row r="1348">
          <cell r="A1348" t="str">
            <v xml:space="preserve"> Sub total Year One</v>
          </cell>
        </row>
        <row r="1355">
          <cell r="A1355" t="str">
            <v>Enter activity Code first</v>
          </cell>
        </row>
        <row r="1357">
          <cell r="A1357" t="str">
            <v>Multi-Year Budget Sub Activities</v>
          </cell>
        </row>
        <row r="1366">
          <cell r="A1366" t="str">
            <v xml:space="preserve"> Sub total Year One</v>
          </cell>
        </row>
        <row r="1374">
          <cell r="A1374" t="str">
            <v>Enter activity Code first</v>
          </cell>
        </row>
        <row r="1376">
          <cell r="A1376" t="str">
            <v>Multi-Year Budget Sub Activities</v>
          </cell>
        </row>
        <row r="1385">
          <cell r="A1385" t="str">
            <v xml:space="preserve"> Sub total Year One</v>
          </cell>
        </row>
        <row r="1392">
          <cell r="A1392" t="str">
            <v>Enter activity Code first</v>
          </cell>
        </row>
        <row r="1394">
          <cell r="A1394" t="str">
            <v>Multi-Year Budget Sub Activities</v>
          </cell>
        </row>
        <row r="1403">
          <cell r="A1403" t="str">
            <v xml:space="preserve"> Sub total Year One</v>
          </cell>
        </row>
        <row r="1410">
          <cell r="A1410" t="str">
            <v>Enter activity Code first</v>
          </cell>
        </row>
        <row r="1412">
          <cell r="A1412" t="str">
            <v>Multi-Year Budget Sub Activities</v>
          </cell>
        </row>
        <row r="1421">
          <cell r="A1421" t="str">
            <v xml:space="preserve"> Sub total Year One</v>
          </cell>
        </row>
        <row r="1428">
          <cell r="A1428" t="str">
            <v>Enter activity Code first</v>
          </cell>
        </row>
        <row r="1430">
          <cell r="A1430" t="str">
            <v>Multi-Year Budget Sub Activities</v>
          </cell>
        </row>
        <row r="1439">
          <cell r="A1439" t="str">
            <v xml:space="preserve"> Sub total Year One</v>
          </cell>
        </row>
        <row r="1446">
          <cell r="A1446" t="str">
            <v>Enter activity Code first</v>
          </cell>
        </row>
        <row r="1448">
          <cell r="A1448" t="str">
            <v>Multi-Year Budget Sub Activities</v>
          </cell>
        </row>
        <row r="1457">
          <cell r="A1457" t="str">
            <v xml:space="preserve"> Sub total Year One</v>
          </cell>
        </row>
        <row r="1465">
          <cell r="A1465" t="str">
            <v>Enter activity Code first</v>
          </cell>
        </row>
        <row r="1467">
          <cell r="A1467" t="str">
            <v>Multi-Year Budget Sub Activities</v>
          </cell>
        </row>
        <row r="1476">
          <cell r="A1476" t="str">
            <v xml:space="preserve"> Sub total Year One</v>
          </cell>
        </row>
        <row r="1483">
          <cell r="A1483" t="str">
            <v>Enter activity Code first</v>
          </cell>
        </row>
        <row r="1485">
          <cell r="A1485" t="str">
            <v>Multi-Year Budget Sub Activities</v>
          </cell>
        </row>
        <row r="1494">
          <cell r="A1494" t="str">
            <v xml:space="preserve"> Sub total Year One</v>
          </cell>
        </row>
        <row r="1501">
          <cell r="A1501" t="str">
            <v>Enter activity Code first</v>
          </cell>
        </row>
        <row r="1503">
          <cell r="A1503" t="str">
            <v>Multi-Year Budget Sub Activities</v>
          </cell>
        </row>
        <row r="1512">
          <cell r="A1512" t="str">
            <v xml:space="preserve"> Sub total Year One</v>
          </cell>
        </row>
        <row r="1519">
          <cell r="A1519" t="str">
            <v>Enter activity Code first</v>
          </cell>
        </row>
        <row r="1521">
          <cell r="A1521" t="str">
            <v>Multi-Year Budget Sub Activities</v>
          </cell>
        </row>
        <row r="1530">
          <cell r="A1530" t="str">
            <v xml:space="preserve"> Sub total Year One</v>
          </cell>
        </row>
        <row r="1537">
          <cell r="A1537" t="str">
            <v>Enter activity Code first</v>
          </cell>
        </row>
        <row r="1539">
          <cell r="A1539" t="str">
            <v>Multi-Year Budget Sub Activities</v>
          </cell>
        </row>
        <row r="1548">
          <cell r="A1548" t="str">
            <v xml:space="preserve"> Sub total Year One</v>
          </cell>
        </row>
        <row r="1556">
          <cell r="A1556" t="str">
            <v>Enter activity Code first</v>
          </cell>
        </row>
        <row r="1558">
          <cell r="A1558" t="str">
            <v>Multi-Year Budget Sub Activities</v>
          </cell>
        </row>
        <row r="1567">
          <cell r="A1567" t="str">
            <v xml:space="preserve"> Sub total Year One</v>
          </cell>
        </row>
        <row r="1574">
          <cell r="A1574" t="str">
            <v>Enter activity Code first</v>
          </cell>
        </row>
        <row r="1576">
          <cell r="A1576" t="str">
            <v>Multi-Year Budget Sub Activities</v>
          </cell>
        </row>
        <row r="1585">
          <cell r="A1585" t="str">
            <v xml:space="preserve"> Sub total Year One</v>
          </cell>
        </row>
        <row r="1592">
          <cell r="A1592" t="str">
            <v>Enter activity Code first</v>
          </cell>
        </row>
        <row r="1594">
          <cell r="A1594" t="str">
            <v>Multi-Year Budget Sub Activities</v>
          </cell>
        </row>
        <row r="1603">
          <cell r="A1603" t="str">
            <v xml:space="preserve"> Sub total Year One</v>
          </cell>
        </row>
        <row r="1610">
          <cell r="A1610" t="str">
            <v>Enter activity Code first</v>
          </cell>
        </row>
        <row r="1612">
          <cell r="A1612" t="str">
            <v>Multi-Year Budget Sub Activities</v>
          </cell>
        </row>
        <row r="1621">
          <cell r="A1621" t="str">
            <v xml:space="preserve"> Sub total Year One</v>
          </cell>
        </row>
        <row r="1628">
          <cell r="A1628" t="str">
            <v>Enter activity Code first</v>
          </cell>
        </row>
        <row r="1630">
          <cell r="A1630" t="str">
            <v>Multi-Year Budget Sub Activities</v>
          </cell>
        </row>
        <row r="1639">
          <cell r="A1639" t="str">
            <v xml:space="preserve"> Sub total Year One</v>
          </cell>
        </row>
        <row r="1647">
          <cell r="A1647" t="str">
            <v>Enter activity Code first</v>
          </cell>
        </row>
        <row r="1649">
          <cell r="A1649" t="str">
            <v>Multi-Year Budget Sub Activities</v>
          </cell>
        </row>
        <row r="1658">
          <cell r="A1658" t="str">
            <v xml:space="preserve"> Sub total Year One</v>
          </cell>
        </row>
        <row r="1665">
          <cell r="A1665" t="str">
            <v>Enter activity Code first</v>
          </cell>
        </row>
        <row r="1667">
          <cell r="A1667" t="str">
            <v>Multi-Year Budget Sub Activities</v>
          </cell>
        </row>
        <row r="1676">
          <cell r="A1676" t="str">
            <v xml:space="preserve"> Sub total Year One</v>
          </cell>
        </row>
        <row r="1683">
          <cell r="A1683" t="str">
            <v>Enter activity Code first</v>
          </cell>
        </row>
        <row r="1685">
          <cell r="A1685" t="str">
            <v>Multi-Year Budget Sub Activities</v>
          </cell>
        </row>
        <row r="1694">
          <cell r="A1694" t="str">
            <v xml:space="preserve"> Sub total Year One</v>
          </cell>
        </row>
        <row r="1701">
          <cell r="A1701" t="str">
            <v>Enter activity Code first</v>
          </cell>
        </row>
        <row r="1703">
          <cell r="A1703" t="str">
            <v>Multi-Year Budget Sub Activities</v>
          </cell>
        </row>
        <row r="1712">
          <cell r="A1712" t="str">
            <v xml:space="preserve"> Sub total Year One</v>
          </cell>
        </row>
        <row r="1719">
          <cell r="A1719" t="str">
            <v>Enter activity Code first</v>
          </cell>
        </row>
        <row r="1721">
          <cell r="A1721" t="str">
            <v>Multi-Year Budget Sub Activities</v>
          </cell>
        </row>
        <row r="1730">
          <cell r="A1730" t="str">
            <v xml:space="preserve"> Sub total Year One</v>
          </cell>
        </row>
        <row r="1738">
          <cell r="A1738" t="str">
            <v>Enter activity Code first</v>
          </cell>
        </row>
        <row r="1740">
          <cell r="A1740" t="str">
            <v>Multi-Year Budget Sub Activities</v>
          </cell>
        </row>
        <row r="1749">
          <cell r="A1749" t="str">
            <v xml:space="preserve"> Sub total Year One</v>
          </cell>
        </row>
        <row r="1756">
          <cell r="A1756" t="str">
            <v>Enter activity Code first</v>
          </cell>
        </row>
        <row r="1758">
          <cell r="A1758" t="str">
            <v>Multi-Year Budget Sub Activities</v>
          </cell>
        </row>
        <row r="1767">
          <cell r="A1767" t="str">
            <v xml:space="preserve"> Sub total Year One</v>
          </cell>
        </row>
        <row r="1774">
          <cell r="A1774" t="str">
            <v>Enter activity Code first</v>
          </cell>
        </row>
        <row r="1776">
          <cell r="A1776" t="str">
            <v>Multi-Year Budget Sub Activities</v>
          </cell>
        </row>
        <row r="1785">
          <cell r="A1785" t="str">
            <v xml:space="preserve"> Sub total Year One</v>
          </cell>
        </row>
        <row r="1792">
          <cell r="A1792" t="str">
            <v>Enter activity Code first</v>
          </cell>
        </row>
        <row r="1794">
          <cell r="A1794" t="str">
            <v>Multi-Year Budget Sub Activities</v>
          </cell>
        </row>
        <row r="1803">
          <cell r="A1803" t="str">
            <v xml:space="preserve"> Sub total Year One</v>
          </cell>
        </row>
        <row r="1810">
          <cell r="A1810" t="str">
            <v>Enter activity Code first</v>
          </cell>
        </row>
        <row r="1812">
          <cell r="A1812" t="str">
            <v>Multi-Year Budget Sub Activities</v>
          </cell>
        </row>
        <row r="1821">
          <cell r="A1821" t="str">
            <v xml:space="preserve"> Sub total Year One</v>
          </cell>
        </row>
        <row r="1829">
          <cell r="A1829" t="str">
            <v>Enter activity Code first</v>
          </cell>
        </row>
        <row r="1831">
          <cell r="A1831" t="str">
            <v>Multi-Year Budget Sub Activities</v>
          </cell>
        </row>
        <row r="1840">
          <cell r="A1840" t="str">
            <v xml:space="preserve"> Sub total Year One</v>
          </cell>
        </row>
        <row r="1847">
          <cell r="A1847" t="str">
            <v>Enter activity Code first</v>
          </cell>
        </row>
        <row r="1849">
          <cell r="A1849" t="str">
            <v>Multi-Year Budget Sub Activities</v>
          </cell>
        </row>
        <row r="1858">
          <cell r="A1858" t="str">
            <v xml:space="preserve"> Sub total Year One</v>
          </cell>
        </row>
        <row r="1865">
          <cell r="A1865" t="str">
            <v>Enter activity Code first</v>
          </cell>
        </row>
        <row r="1867">
          <cell r="A1867" t="str">
            <v>Multi-Year Budget Sub Activities</v>
          </cell>
        </row>
        <row r="1876">
          <cell r="A1876" t="str">
            <v xml:space="preserve"> Sub total Year One</v>
          </cell>
        </row>
        <row r="1883">
          <cell r="A1883" t="str">
            <v>Enter activity Code first</v>
          </cell>
        </row>
        <row r="1885">
          <cell r="A1885" t="str">
            <v>Multi-Year Budget Sub Activities</v>
          </cell>
        </row>
        <row r="1894">
          <cell r="A1894" t="str">
            <v xml:space="preserve"> Sub total Year One</v>
          </cell>
        </row>
        <row r="1901">
          <cell r="A1901" t="str">
            <v>Enter activity Code first</v>
          </cell>
        </row>
        <row r="1903">
          <cell r="A1903" t="str">
            <v>Multi-Year Budget Sub Activities</v>
          </cell>
        </row>
        <row r="1912">
          <cell r="A1912" t="str">
            <v xml:space="preserve"> Sub total Year One</v>
          </cell>
        </row>
        <row r="1920">
          <cell r="A1920" t="str">
            <v>Enter activity Code first</v>
          </cell>
        </row>
        <row r="1922">
          <cell r="A1922" t="str">
            <v>Multi-Year Budget Sub Activities</v>
          </cell>
        </row>
        <row r="1931">
          <cell r="A1931" t="str">
            <v xml:space="preserve"> Sub total Year One</v>
          </cell>
        </row>
        <row r="1938">
          <cell r="A1938" t="str">
            <v>Not Specified</v>
          </cell>
        </row>
        <row r="1940">
          <cell r="A1940" t="str">
            <v>Multi-Year Budget Sub Activities</v>
          </cell>
        </row>
        <row r="1949">
          <cell r="A1949" t="str">
            <v xml:space="preserve"> Sub total Year One</v>
          </cell>
        </row>
        <row r="1956">
          <cell r="A1956" t="str">
            <v>Enter activity Code first</v>
          </cell>
        </row>
        <row r="1958">
          <cell r="A1958" t="str">
            <v>Multi-Year Budget Sub Activities</v>
          </cell>
        </row>
        <row r="1967">
          <cell r="A1967" t="str">
            <v xml:space="preserve"> Sub total Year One</v>
          </cell>
        </row>
        <row r="1974">
          <cell r="A1974" t="str">
            <v>Enter activity Code first</v>
          </cell>
        </row>
        <row r="1976">
          <cell r="A1976" t="str">
            <v>Multi-Year Budget Sub Activities</v>
          </cell>
        </row>
        <row r="1985">
          <cell r="A1985" t="str">
            <v xml:space="preserve"> Sub total Year One</v>
          </cell>
        </row>
        <row r="1992">
          <cell r="A1992" t="str">
            <v>Not Specified</v>
          </cell>
        </row>
        <row r="1994">
          <cell r="A1994" t="str">
            <v>Multi-Year Budget Sub Activities</v>
          </cell>
        </row>
        <row r="2003">
          <cell r="A2003" t="str">
            <v xml:space="preserve"> Sub total Year One</v>
          </cell>
        </row>
        <row r="2011">
          <cell r="A2011" t="str">
            <v>Enter activity Code first</v>
          </cell>
        </row>
        <row r="2013">
          <cell r="A2013" t="str">
            <v>Multi-Year Budget Sub Activities</v>
          </cell>
        </row>
        <row r="2022">
          <cell r="A2022" t="str">
            <v xml:space="preserve"> Sub total Year One</v>
          </cell>
        </row>
        <row r="2029">
          <cell r="A2029" t="str">
            <v>Enter activity Code first</v>
          </cell>
        </row>
        <row r="2031">
          <cell r="A2031" t="str">
            <v>Multi-Year Budget Sub Activities</v>
          </cell>
        </row>
        <row r="2040">
          <cell r="A2040" t="str">
            <v xml:space="preserve"> Sub total Year One</v>
          </cell>
        </row>
        <row r="2047">
          <cell r="A2047" t="str">
            <v>Not Specified</v>
          </cell>
        </row>
        <row r="2049">
          <cell r="A2049" t="str">
            <v>Multi-Year Budget Sub Activities</v>
          </cell>
        </row>
        <row r="2058">
          <cell r="A2058" t="str">
            <v xml:space="preserve"> Sub total Year One</v>
          </cell>
        </row>
        <row r="2065">
          <cell r="A2065" t="str">
            <v>Enter activity Code first</v>
          </cell>
        </row>
        <row r="2067">
          <cell r="A2067" t="str">
            <v>Multi-Year Budget Sub Activities</v>
          </cell>
        </row>
        <row r="2076">
          <cell r="A2076" t="str">
            <v xml:space="preserve"> Sub total Year One</v>
          </cell>
        </row>
        <row r="2083">
          <cell r="A2083" t="str">
            <v>Enter activity Code first</v>
          </cell>
        </row>
        <row r="2085">
          <cell r="A2085" t="str">
            <v>Multi-Year Budget Sub Activities</v>
          </cell>
        </row>
        <row r="2094">
          <cell r="A2094" t="str">
            <v xml:space="preserve"> Sub total Year One</v>
          </cell>
        </row>
        <row r="2102">
          <cell r="A2102" t="str">
            <v>Not Specified</v>
          </cell>
        </row>
        <row r="2104">
          <cell r="A2104" t="str">
            <v>Multi-Year Budget Sub Activities</v>
          </cell>
        </row>
        <row r="2113">
          <cell r="A2113" t="str">
            <v xml:space="preserve"> Sub total Year One</v>
          </cell>
        </row>
        <row r="2120">
          <cell r="A2120" t="str">
            <v>Enter activity Code first</v>
          </cell>
        </row>
        <row r="2122">
          <cell r="A2122" t="str">
            <v>Multi-Year Budget Sub Activities</v>
          </cell>
        </row>
        <row r="2131">
          <cell r="A2131" t="str">
            <v xml:space="preserve"> Sub total Year One</v>
          </cell>
        </row>
        <row r="2138">
          <cell r="A2138" t="str">
            <v>Enter activity Code first</v>
          </cell>
        </row>
        <row r="2140">
          <cell r="A2140" t="str">
            <v>Multi-Year Budget Sub Activities</v>
          </cell>
        </row>
        <row r="2149">
          <cell r="A2149" t="str">
            <v xml:space="preserve"> Sub total Year One</v>
          </cell>
        </row>
        <row r="2156">
          <cell r="A2156" t="str">
            <v>Enter activity Code first</v>
          </cell>
        </row>
        <row r="2158">
          <cell r="A2158" t="str">
            <v>Multi-Year Budget Sub Activities</v>
          </cell>
        </row>
        <row r="2167">
          <cell r="A2167" t="str">
            <v xml:space="preserve"> Sub total Year One</v>
          </cell>
        </row>
        <row r="2174">
          <cell r="A2174" t="str">
            <v>Enter activity Code first</v>
          </cell>
        </row>
        <row r="2176">
          <cell r="A2176" t="str">
            <v>Multi-Year Budget Sub Activities</v>
          </cell>
        </row>
        <row r="2185">
          <cell r="A2185" t="str">
            <v xml:space="preserve"> Sub total Year One</v>
          </cell>
        </row>
        <row r="2193">
          <cell r="A2193" t="str">
            <v>Enter activity Code first</v>
          </cell>
        </row>
        <row r="2195">
          <cell r="A2195" t="str">
            <v>Multi-Year Budget Sub Activities</v>
          </cell>
        </row>
        <row r="2204">
          <cell r="A2204" t="str">
            <v xml:space="preserve"> Sub total Year One</v>
          </cell>
        </row>
        <row r="2211">
          <cell r="A2211" t="str">
            <v>Enter activity Code first</v>
          </cell>
        </row>
        <row r="2213">
          <cell r="A2213" t="str">
            <v>Multi-Year Budget Sub Activities</v>
          </cell>
        </row>
        <row r="2222">
          <cell r="A2222" t="str">
            <v xml:space="preserve"> Sub total Year One</v>
          </cell>
        </row>
        <row r="2229">
          <cell r="A2229" t="str">
            <v>Enter activity Code first</v>
          </cell>
        </row>
        <row r="2231">
          <cell r="A2231" t="str">
            <v>Multi-Year Budget Sub Activities</v>
          </cell>
        </row>
        <row r="2240">
          <cell r="A2240" t="str">
            <v xml:space="preserve"> Sub total Year One</v>
          </cell>
        </row>
        <row r="2247">
          <cell r="A2247" t="str">
            <v>Enter activity Code first</v>
          </cell>
        </row>
        <row r="2249">
          <cell r="A2249" t="str">
            <v>Multi-Year Budget Sub Activities</v>
          </cell>
        </row>
        <row r="2258">
          <cell r="A2258" t="str">
            <v xml:space="preserve"> Sub total Year One</v>
          </cell>
        </row>
        <row r="2265">
          <cell r="A2265" t="str">
            <v>Enter activity Code first</v>
          </cell>
        </row>
        <row r="2267">
          <cell r="A2267" t="str">
            <v>Multi-Year Budget Sub Activities</v>
          </cell>
        </row>
        <row r="2276">
          <cell r="A2276" t="str">
            <v xml:space="preserve"> Sub total Year One</v>
          </cell>
        </row>
        <row r="2284">
          <cell r="A2284" t="str">
            <v>Enter activity Code first</v>
          </cell>
        </row>
        <row r="2286">
          <cell r="A2286" t="str">
            <v>Multi-Year Budget Sub Activities</v>
          </cell>
        </row>
        <row r="2295">
          <cell r="A2295" t="str">
            <v xml:space="preserve"> Sub total Year One</v>
          </cell>
        </row>
        <row r="2302">
          <cell r="A2302" t="str">
            <v>Enter activity Code first</v>
          </cell>
        </row>
        <row r="2304">
          <cell r="A2304" t="str">
            <v>Multi-Year Budget Sub Activities</v>
          </cell>
        </row>
        <row r="2313">
          <cell r="A2313" t="str">
            <v xml:space="preserve"> Sub total Year One</v>
          </cell>
        </row>
        <row r="2320">
          <cell r="A2320" t="str">
            <v>Enter activity Code first</v>
          </cell>
        </row>
        <row r="2322">
          <cell r="A2322" t="str">
            <v>Multi-Year Budget Sub Activities</v>
          </cell>
        </row>
        <row r="2331">
          <cell r="A2331" t="str">
            <v xml:space="preserve"> Sub total Year One</v>
          </cell>
        </row>
        <row r="2338">
          <cell r="A2338" t="str">
            <v>Enter activity Code first</v>
          </cell>
        </row>
        <row r="2340">
          <cell r="A2340" t="str">
            <v>Multi-Year Budget Sub Activities</v>
          </cell>
        </row>
        <row r="2349">
          <cell r="A2349" t="str">
            <v xml:space="preserve"> Sub total Year One</v>
          </cell>
        </row>
        <row r="2356">
          <cell r="A2356" t="str">
            <v>Enter activity Code first</v>
          </cell>
        </row>
        <row r="2358">
          <cell r="A2358" t="str">
            <v>Multi-Year Budget Sub Activities</v>
          </cell>
        </row>
        <row r="2367">
          <cell r="A2367" t="str">
            <v xml:space="preserve"> Sub total Year One</v>
          </cell>
        </row>
        <row r="2375">
          <cell r="A2375" t="str">
            <v>Enter activity Code first</v>
          </cell>
        </row>
        <row r="2377">
          <cell r="A2377" t="str">
            <v>Multi-Year Budget Sub Activities</v>
          </cell>
        </row>
        <row r="2386">
          <cell r="A2386" t="str">
            <v xml:space="preserve"> Sub total Year One</v>
          </cell>
        </row>
        <row r="2393">
          <cell r="A2393" t="str">
            <v>Enter activity Code first</v>
          </cell>
        </row>
        <row r="2395">
          <cell r="A2395" t="str">
            <v>Multi-Year Budget Sub Activities</v>
          </cell>
        </row>
        <row r="2404">
          <cell r="A2404" t="str">
            <v xml:space="preserve"> Sub total Year One</v>
          </cell>
        </row>
        <row r="2411">
          <cell r="A2411" t="str">
            <v>Enter activity Code first</v>
          </cell>
        </row>
        <row r="2413">
          <cell r="A2413" t="str">
            <v>Multi-Year Budget Sub Activities</v>
          </cell>
        </row>
        <row r="2422">
          <cell r="A2422" t="str">
            <v xml:space="preserve"> Sub total Year One</v>
          </cell>
        </row>
        <row r="2429">
          <cell r="A2429" t="str">
            <v>Enter activity Code first</v>
          </cell>
        </row>
        <row r="2431">
          <cell r="A2431" t="str">
            <v>Multi-Year Budget Sub Activities</v>
          </cell>
        </row>
        <row r="2440">
          <cell r="A2440" t="str">
            <v xml:space="preserve"> Sub total Year One</v>
          </cell>
        </row>
        <row r="2447">
          <cell r="A2447" t="str">
            <v>Enter activity Code first</v>
          </cell>
        </row>
        <row r="2449">
          <cell r="A2449" t="str">
            <v>Multi-Year Budget Sub Activities</v>
          </cell>
        </row>
        <row r="2458">
          <cell r="A2458" t="str">
            <v xml:space="preserve"> Sub total Year One</v>
          </cell>
        </row>
        <row r="2466">
          <cell r="A2466" t="str">
            <v>Enter activity Code first</v>
          </cell>
        </row>
        <row r="2468">
          <cell r="A2468" t="str">
            <v>Multi-Year Budget Sub Activities</v>
          </cell>
        </row>
        <row r="2477">
          <cell r="A2477" t="str">
            <v xml:space="preserve"> Sub total Year One</v>
          </cell>
        </row>
        <row r="2484">
          <cell r="A2484" t="str">
            <v>Enter activity Code first</v>
          </cell>
        </row>
        <row r="2486">
          <cell r="A2486" t="str">
            <v>Multi-Year Budget Sub Activities</v>
          </cell>
        </row>
        <row r="2495">
          <cell r="A2495" t="str">
            <v xml:space="preserve"> Sub total Year One</v>
          </cell>
        </row>
        <row r="2502">
          <cell r="A2502" t="str">
            <v>Enter activity Code first</v>
          </cell>
        </row>
        <row r="2504">
          <cell r="A2504" t="str">
            <v>Multi-Year Budget Sub Activities</v>
          </cell>
        </row>
        <row r="2513">
          <cell r="A2513" t="str">
            <v xml:space="preserve"> Sub total Year One</v>
          </cell>
        </row>
        <row r="2520">
          <cell r="A2520" t="str">
            <v>Enter activity Code first</v>
          </cell>
        </row>
        <row r="2522">
          <cell r="A2522" t="str">
            <v>Multi-Year Budget Sub Activities</v>
          </cell>
        </row>
        <row r="2531">
          <cell r="A2531" t="str">
            <v xml:space="preserve"> Sub total Year One</v>
          </cell>
        </row>
        <row r="2538">
          <cell r="A2538" t="str">
            <v>Not Specified</v>
          </cell>
        </row>
        <row r="2540">
          <cell r="A2540" t="str">
            <v>Multi-Year Budget Sub Activities</v>
          </cell>
        </row>
        <row r="2549">
          <cell r="A2549" t="str">
            <v xml:space="preserve"> Sub total Year One</v>
          </cell>
        </row>
        <row r="2557">
          <cell r="A2557" t="str">
            <v>Enter activity Code first</v>
          </cell>
        </row>
        <row r="2559">
          <cell r="A2559" t="str">
            <v>Multi-Year Budget Sub Activities</v>
          </cell>
        </row>
        <row r="2568">
          <cell r="A2568" t="str">
            <v xml:space="preserve"> Sub total Year One</v>
          </cell>
        </row>
        <row r="2575">
          <cell r="A2575" t="str">
            <v>Enter activity Code first</v>
          </cell>
        </row>
        <row r="2577">
          <cell r="A2577" t="str">
            <v>Multi-Year Budget Sub Activities</v>
          </cell>
        </row>
        <row r="2586">
          <cell r="A2586" t="str">
            <v xml:space="preserve"> Sub total Year One</v>
          </cell>
        </row>
        <row r="2593">
          <cell r="A2593" t="str">
            <v>Not Specified</v>
          </cell>
        </row>
        <row r="2595">
          <cell r="A2595" t="str">
            <v>Multi-Year Budget Sub Activities</v>
          </cell>
        </row>
        <row r="2604">
          <cell r="A2604" t="str">
            <v xml:space="preserve"> Sub total Year One</v>
          </cell>
        </row>
        <row r="2611">
          <cell r="A2611" t="str">
            <v>Enter activity Code first</v>
          </cell>
        </row>
        <row r="2613">
          <cell r="A2613" t="str">
            <v>Multi-Year Budget Sub Activities</v>
          </cell>
        </row>
        <row r="2622">
          <cell r="A2622" t="str">
            <v xml:space="preserve"> Sub total Year One</v>
          </cell>
        </row>
        <row r="2629">
          <cell r="A2629" t="str">
            <v>Enter activity Code first</v>
          </cell>
        </row>
        <row r="2631">
          <cell r="A2631" t="str">
            <v>Multi-Year Budget Sub Activities</v>
          </cell>
        </row>
        <row r="2640">
          <cell r="A2640" t="str">
            <v xml:space="preserve"> Sub total Year One</v>
          </cell>
        </row>
        <row r="2648">
          <cell r="A2648" t="str">
            <v>Enter activity Code first</v>
          </cell>
        </row>
        <row r="2650">
          <cell r="A2650" t="str">
            <v>Multi-Year Budget Sub Activities</v>
          </cell>
        </row>
        <row r="2659">
          <cell r="A2659" t="str">
            <v xml:space="preserve"> Sub total Year One</v>
          </cell>
        </row>
        <row r="2666">
          <cell r="A2666" t="str">
            <v>Enter activity Code first</v>
          </cell>
        </row>
        <row r="2668">
          <cell r="A2668" t="str">
            <v>Multi-Year Budget Sub Activities</v>
          </cell>
        </row>
        <row r="2677">
          <cell r="A2677" t="str">
            <v xml:space="preserve"> Sub total Year One</v>
          </cell>
        </row>
        <row r="2684">
          <cell r="A2684" t="str">
            <v>Enter activity Code first</v>
          </cell>
        </row>
        <row r="2686">
          <cell r="A2686" t="str">
            <v>Multi-Year Budget Sub Activities</v>
          </cell>
        </row>
        <row r="2695">
          <cell r="A2695" t="str">
            <v xml:space="preserve"> Sub total Year One</v>
          </cell>
        </row>
        <row r="2702">
          <cell r="A2702" t="str">
            <v>Enter activity Code first</v>
          </cell>
        </row>
        <row r="2704">
          <cell r="A2704" t="str">
            <v>Multi-Year Budget Sub Activities</v>
          </cell>
        </row>
        <row r="2713">
          <cell r="A2713" t="str">
            <v xml:space="preserve"> Sub total Year One</v>
          </cell>
        </row>
        <row r="2720">
          <cell r="A2720" t="str">
            <v>Enter activity Code first</v>
          </cell>
        </row>
        <row r="2722">
          <cell r="A2722" t="str">
            <v>Multi-Year Budget Sub Activities</v>
          </cell>
        </row>
        <row r="2731">
          <cell r="A2731" t="str">
            <v xml:space="preserve"> Sub total Year One</v>
          </cell>
        </row>
        <row r="2739">
          <cell r="A2739" t="str">
            <v>Enter activity Code first</v>
          </cell>
        </row>
        <row r="2741">
          <cell r="A2741" t="str">
            <v>Multi-Year Budget Sub Activities</v>
          </cell>
        </row>
        <row r="2750">
          <cell r="A2750" t="str">
            <v xml:space="preserve"> Sub total Year One</v>
          </cell>
        </row>
        <row r="2757">
          <cell r="A2757" t="str">
            <v>Enter activity Code first</v>
          </cell>
        </row>
        <row r="2759">
          <cell r="A2759" t="str">
            <v>Multi-Year Budget Sub Activities</v>
          </cell>
        </row>
        <row r="2768">
          <cell r="A2768" t="str">
            <v xml:space="preserve"> Sub total Year One</v>
          </cell>
        </row>
        <row r="2775">
          <cell r="A2775" t="str">
            <v>Enter activity Code first</v>
          </cell>
        </row>
        <row r="2777">
          <cell r="A2777" t="str">
            <v>Multi-Year Budget Sub Activities</v>
          </cell>
        </row>
        <row r="2786">
          <cell r="A2786" t="str">
            <v xml:space="preserve"> Sub total Year One</v>
          </cell>
        </row>
        <row r="2793">
          <cell r="A2793" t="str">
            <v>Enter activity Code first</v>
          </cell>
        </row>
        <row r="2795">
          <cell r="A2795" t="str">
            <v>Multi-Year Budget Sub Activities</v>
          </cell>
        </row>
        <row r="2804">
          <cell r="A2804" t="str">
            <v xml:space="preserve"> Sub total Year One</v>
          </cell>
        </row>
        <row r="2811">
          <cell r="A2811" t="str">
            <v>Enter activity Code first</v>
          </cell>
        </row>
        <row r="2813">
          <cell r="A2813" t="str">
            <v>Multi-Year Budget Sub Activities</v>
          </cell>
        </row>
        <row r="2822">
          <cell r="A2822" t="str">
            <v xml:space="preserve"> Sub total Year One</v>
          </cell>
        </row>
        <row r="2830">
          <cell r="A2830" t="str">
            <v>Enter activity Code first</v>
          </cell>
        </row>
        <row r="2832">
          <cell r="A2832" t="str">
            <v>Multi-Year Budget Sub Activities</v>
          </cell>
        </row>
        <row r="2841">
          <cell r="A2841" t="str">
            <v xml:space="preserve"> Sub total Year One</v>
          </cell>
        </row>
        <row r="2848">
          <cell r="A2848" t="str">
            <v>Enter activity Code first</v>
          </cell>
        </row>
        <row r="2850">
          <cell r="A2850" t="str">
            <v>Multi-Year Budget Sub Activities</v>
          </cell>
        </row>
        <row r="2859">
          <cell r="A2859" t="str">
            <v xml:space="preserve"> Sub total Year One</v>
          </cell>
        </row>
        <row r="2866">
          <cell r="A2866" t="str">
            <v>Enter activity Code first</v>
          </cell>
        </row>
        <row r="2868">
          <cell r="A2868" t="str">
            <v>Multi-Year Budget Sub Activities</v>
          </cell>
        </row>
        <row r="2877">
          <cell r="A2877" t="str">
            <v xml:space="preserve"> Sub total Year One</v>
          </cell>
        </row>
        <row r="2884">
          <cell r="A2884" t="str">
            <v>Enter activity Code first</v>
          </cell>
        </row>
        <row r="2886">
          <cell r="A2886" t="str">
            <v>Multi-Year Budget Sub Activities</v>
          </cell>
        </row>
        <row r="2895">
          <cell r="A2895" t="str">
            <v xml:space="preserve"> Sub total Year One</v>
          </cell>
        </row>
        <row r="2902">
          <cell r="A2902" t="str">
            <v>Not Specified</v>
          </cell>
        </row>
        <row r="2904">
          <cell r="A2904" t="str">
            <v>Multi-Year Budget Sub Activities</v>
          </cell>
        </row>
        <row r="2913">
          <cell r="A2913" t="str">
            <v xml:space="preserve"> Sub total Year One</v>
          </cell>
        </row>
        <row r="2921">
          <cell r="A2921" t="str">
            <v>Not Specified</v>
          </cell>
        </row>
        <row r="2923">
          <cell r="A2923" t="str">
            <v>Multi-Year Budget Sub Activities</v>
          </cell>
        </row>
        <row r="2932">
          <cell r="A2932" t="str">
            <v xml:space="preserve"> Sub total Year One</v>
          </cell>
        </row>
        <row r="2939">
          <cell r="A2939" t="str">
            <v>Not Specified</v>
          </cell>
        </row>
        <row r="2941">
          <cell r="A2941" t="str">
            <v>Multi-Year Budget Sub Activities</v>
          </cell>
        </row>
        <row r="2950">
          <cell r="A2950" t="str">
            <v xml:space="preserve"> Sub total Year One</v>
          </cell>
        </row>
        <row r="2957">
          <cell r="A2957" t="str">
            <v>Enter activity Code first</v>
          </cell>
        </row>
        <row r="2959">
          <cell r="A2959" t="str">
            <v>Multi-Year Budget Sub Activities</v>
          </cell>
        </row>
        <row r="2968">
          <cell r="A2968" t="str">
            <v xml:space="preserve"> Sub total Year One</v>
          </cell>
        </row>
        <row r="2975">
          <cell r="A2975" t="str">
            <v>Enter activity Code first</v>
          </cell>
        </row>
        <row r="2977">
          <cell r="A2977" t="str">
            <v>Multi-Year Budget Sub Activities</v>
          </cell>
        </row>
        <row r="2986">
          <cell r="A2986" t="str">
            <v xml:space="preserve"> Sub total Year One</v>
          </cell>
        </row>
        <row r="2993">
          <cell r="A2993" t="str">
            <v>Not Specified</v>
          </cell>
        </row>
        <row r="2995">
          <cell r="A2995" t="str">
            <v>Multi-Year Budget Sub Activities</v>
          </cell>
        </row>
        <row r="3004">
          <cell r="A3004" t="str">
            <v xml:space="preserve"> Sub total Year One</v>
          </cell>
        </row>
        <row r="3012">
          <cell r="A3012" t="str">
            <v>Enter activity Code first</v>
          </cell>
        </row>
        <row r="3014">
          <cell r="A3014" t="str">
            <v>Multi-Year Budget Sub Activities</v>
          </cell>
        </row>
        <row r="3023">
          <cell r="A3023" t="str">
            <v xml:space="preserve"> Sub total Year One</v>
          </cell>
        </row>
        <row r="3030">
          <cell r="A3030" t="str">
            <v>Enter activity Code first</v>
          </cell>
        </row>
        <row r="3032">
          <cell r="A3032" t="str">
            <v>Multi-Year Budget Sub Activities</v>
          </cell>
        </row>
        <row r="3041">
          <cell r="A3041" t="str">
            <v xml:space="preserve"> Sub total Year One</v>
          </cell>
        </row>
        <row r="3048">
          <cell r="A3048" t="str">
            <v>Enter activity Code first</v>
          </cell>
        </row>
        <row r="3050">
          <cell r="A3050" t="str">
            <v>Multi-Year Budget Sub Activities</v>
          </cell>
        </row>
        <row r="3059">
          <cell r="A3059" t="str">
            <v xml:space="preserve"> Sub total Year One</v>
          </cell>
        </row>
        <row r="3066">
          <cell r="A3066" t="str">
            <v>Enter activity Code first</v>
          </cell>
        </row>
        <row r="3068">
          <cell r="A3068" t="str">
            <v>Multi-Year Budget Sub Activities</v>
          </cell>
        </row>
        <row r="3077">
          <cell r="A3077" t="str">
            <v xml:space="preserve"> Sub total Year One</v>
          </cell>
        </row>
        <row r="3084">
          <cell r="A3084" t="str">
            <v>Enter activity Code first</v>
          </cell>
        </row>
        <row r="3086">
          <cell r="A3086" t="str">
            <v>Multi-Year Budget Sub Activities</v>
          </cell>
        </row>
        <row r="3095">
          <cell r="A3095" t="str">
            <v xml:space="preserve"> Sub total Year One</v>
          </cell>
        </row>
        <row r="3103">
          <cell r="A3103" t="str">
            <v>Enter activity Code first</v>
          </cell>
        </row>
        <row r="3105">
          <cell r="A3105" t="str">
            <v>Multi-Year Budget Sub Activities</v>
          </cell>
        </row>
        <row r="3114">
          <cell r="A3114" t="str">
            <v xml:space="preserve"> Sub total Year One</v>
          </cell>
        </row>
        <row r="3121">
          <cell r="A3121" t="str">
            <v>Enter activity Code first</v>
          </cell>
        </row>
        <row r="3123">
          <cell r="A3123" t="str">
            <v>Multi-Year Budget Sub Activities</v>
          </cell>
        </row>
        <row r="3132">
          <cell r="A3132" t="str">
            <v xml:space="preserve"> Sub total Year One</v>
          </cell>
        </row>
        <row r="3139">
          <cell r="A3139" t="str">
            <v>Enter activity Code first</v>
          </cell>
        </row>
        <row r="3141">
          <cell r="A3141" t="str">
            <v>Multi-Year Budget Sub Activities</v>
          </cell>
        </row>
        <row r="3150">
          <cell r="A3150" t="str">
            <v xml:space="preserve"> Sub total Year One</v>
          </cell>
        </row>
        <row r="3157">
          <cell r="A3157" t="str">
            <v>Enter activity Code first</v>
          </cell>
        </row>
        <row r="3159">
          <cell r="A3159" t="str">
            <v>Multi-Year Budget Sub Activities</v>
          </cell>
        </row>
        <row r="3168">
          <cell r="A3168" t="str">
            <v xml:space="preserve"> Sub total Year One</v>
          </cell>
        </row>
        <row r="3175">
          <cell r="A3175" t="str">
            <v>Enter activity Code first</v>
          </cell>
        </row>
        <row r="3177">
          <cell r="A3177" t="str">
            <v>Multi-Year Budget Sub Activities</v>
          </cell>
        </row>
        <row r="3186">
          <cell r="A3186" t="str">
            <v xml:space="preserve"> Sub total Year One</v>
          </cell>
        </row>
        <row r="3194">
          <cell r="A3194" t="str">
            <v>Enter activity Code first</v>
          </cell>
        </row>
        <row r="3196">
          <cell r="A3196" t="str">
            <v>Multi-Year Budget Sub Activities</v>
          </cell>
        </row>
        <row r="3205">
          <cell r="A3205" t="str">
            <v xml:space="preserve"> Sub total Year One</v>
          </cell>
        </row>
        <row r="3212">
          <cell r="A3212" t="str">
            <v>Enter activity Code first</v>
          </cell>
        </row>
        <row r="3214">
          <cell r="A3214" t="str">
            <v>Multi-Year Budget Sub Activities</v>
          </cell>
        </row>
        <row r="3223">
          <cell r="A3223" t="str">
            <v xml:space="preserve"> Sub total Year One</v>
          </cell>
        </row>
        <row r="3230">
          <cell r="A3230" t="str">
            <v>Enter activity Code first</v>
          </cell>
        </row>
        <row r="3232">
          <cell r="A3232" t="str">
            <v>Multi-Year Budget Sub Activities</v>
          </cell>
        </row>
        <row r="3241">
          <cell r="A3241" t="str">
            <v xml:space="preserve"> Sub total Year One</v>
          </cell>
        </row>
        <row r="3248">
          <cell r="A3248" t="str">
            <v>Enter activity Code first</v>
          </cell>
        </row>
        <row r="3250">
          <cell r="A3250" t="str">
            <v>Multi-Year Budget Sub Activities</v>
          </cell>
        </row>
        <row r="3259">
          <cell r="A3259" t="str">
            <v xml:space="preserve"> Sub total Year One</v>
          </cell>
        </row>
        <row r="3266">
          <cell r="A3266" t="str">
            <v>Enter activity Code first</v>
          </cell>
        </row>
        <row r="3268">
          <cell r="A3268" t="str">
            <v>Multi-Year Budget Sub Activities</v>
          </cell>
        </row>
        <row r="3277">
          <cell r="A3277" t="str">
            <v xml:space="preserve"> Sub total Year One</v>
          </cell>
        </row>
        <row r="3285">
          <cell r="A3285" t="str">
            <v>Enter activity Code first</v>
          </cell>
        </row>
        <row r="3287">
          <cell r="A3287" t="str">
            <v>Multi-Year Budget Sub Activities</v>
          </cell>
        </row>
        <row r="3296">
          <cell r="A3296" t="str">
            <v xml:space="preserve"> Sub total Year One</v>
          </cell>
        </row>
        <row r="3303">
          <cell r="A3303" t="str">
            <v>Enter activity Code first</v>
          </cell>
        </row>
        <row r="3305">
          <cell r="A3305" t="str">
            <v>Multi-Year Budget Sub Activities</v>
          </cell>
        </row>
        <row r="3314">
          <cell r="A3314" t="str">
            <v xml:space="preserve"> Sub total Year One</v>
          </cell>
        </row>
        <row r="3321">
          <cell r="A3321" t="str">
            <v>Enter activity Code first</v>
          </cell>
        </row>
        <row r="3323">
          <cell r="A3323" t="str">
            <v>Multi-Year Budget Sub Activities</v>
          </cell>
        </row>
        <row r="3332">
          <cell r="A3332" t="str">
            <v xml:space="preserve"> Sub total Year One</v>
          </cell>
        </row>
        <row r="3339">
          <cell r="A3339" t="str">
            <v>Enter activity Code first</v>
          </cell>
        </row>
        <row r="3341">
          <cell r="A3341" t="str">
            <v>Multi-Year Budget Sub Activities</v>
          </cell>
        </row>
        <row r="3350">
          <cell r="A3350" t="str">
            <v xml:space="preserve"> Sub total Year One</v>
          </cell>
        </row>
        <row r="3357">
          <cell r="A3357" t="str">
            <v>Enter activity Code first</v>
          </cell>
        </row>
        <row r="3359">
          <cell r="A3359" t="str">
            <v>Multi-Year Budget Sub Activities</v>
          </cell>
        </row>
        <row r="3368">
          <cell r="A3368" t="str">
            <v xml:space="preserve"> Sub total Year One</v>
          </cell>
        </row>
        <row r="3376">
          <cell r="A3376" t="str">
            <v>Enter activity Code first</v>
          </cell>
        </row>
        <row r="3378">
          <cell r="A3378" t="str">
            <v>Multi-Year Budget Sub Activities</v>
          </cell>
        </row>
        <row r="3387">
          <cell r="A3387" t="str">
            <v xml:space="preserve"> Sub total Year One</v>
          </cell>
        </row>
        <row r="3394">
          <cell r="A3394" t="str">
            <v>Enter activity Code first</v>
          </cell>
        </row>
        <row r="3396">
          <cell r="A3396" t="str">
            <v>Multi-Year Budget Sub Activities</v>
          </cell>
        </row>
        <row r="3405">
          <cell r="A3405" t="str">
            <v xml:space="preserve"> Sub total Year One</v>
          </cell>
        </row>
        <row r="3412">
          <cell r="A3412" t="str">
            <v>Enter activity Code first</v>
          </cell>
        </row>
        <row r="3414">
          <cell r="A3414" t="str">
            <v>Multi-Year Budget Sub Activities</v>
          </cell>
        </row>
        <row r="3423">
          <cell r="A3423" t="str">
            <v xml:space="preserve"> Sub total Year One</v>
          </cell>
        </row>
        <row r="3430">
          <cell r="A3430" t="str">
            <v>Enter activity Code first</v>
          </cell>
        </row>
        <row r="3432">
          <cell r="A3432" t="str">
            <v>Multi-Year Budget Sub Activities</v>
          </cell>
        </row>
        <row r="3441">
          <cell r="A3441" t="str">
            <v xml:space="preserve"> Sub total Year One</v>
          </cell>
        </row>
        <row r="3448">
          <cell r="A3448" t="str">
            <v>Enter activity Code first</v>
          </cell>
        </row>
        <row r="3450">
          <cell r="A3450" t="str">
            <v>Multi-Year Budget Sub Activities</v>
          </cell>
        </row>
        <row r="3459">
          <cell r="A3459" t="str">
            <v xml:space="preserve"> Sub total Year One</v>
          </cell>
        </row>
        <row r="3467">
          <cell r="A3467" t="str">
            <v>Enter activity Code first</v>
          </cell>
        </row>
        <row r="3469">
          <cell r="A3469" t="str">
            <v>Multi-Year Budget Sub Activities</v>
          </cell>
        </row>
        <row r="3478">
          <cell r="A3478" t="str">
            <v xml:space="preserve"> Sub total Year One</v>
          </cell>
        </row>
        <row r="3485">
          <cell r="A3485" t="str">
            <v>Enter activity Code first</v>
          </cell>
        </row>
        <row r="3487">
          <cell r="A3487" t="str">
            <v>Multi-Year Budget Sub Activities</v>
          </cell>
        </row>
        <row r="3496">
          <cell r="A3496" t="str">
            <v xml:space="preserve"> Sub total Year One</v>
          </cell>
        </row>
        <row r="3503">
          <cell r="A3503" t="str">
            <v>Enter activity Code first</v>
          </cell>
        </row>
        <row r="3505">
          <cell r="A3505" t="str">
            <v>Multi-Year Budget Sub Activities</v>
          </cell>
        </row>
        <row r="3514">
          <cell r="A3514" t="str">
            <v xml:space="preserve"> Sub total Year One</v>
          </cell>
        </row>
        <row r="3521">
          <cell r="A3521" t="str">
            <v>Enter activity Code first</v>
          </cell>
        </row>
        <row r="3523">
          <cell r="A3523" t="str">
            <v>Multi-Year Budget Sub Activities</v>
          </cell>
        </row>
        <row r="3532">
          <cell r="A3532" t="str">
            <v xml:space="preserve"> Sub total Year One</v>
          </cell>
        </row>
        <row r="3539">
          <cell r="A3539" t="str">
            <v>Enter activity Code first</v>
          </cell>
        </row>
        <row r="3541">
          <cell r="A3541" t="str">
            <v>Multi-Year Budget Sub Activities</v>
          </cell>
        </row>
        <row r="3550">
          <cell r="A3550" t="str">
            <v xml:space="preserve"> Sub total Year One</v>
          </cell>
        </row>
        <row r="3558">
          <cell r="A3558" t="str">
            <v>Enter activity Code first</v>
          </cell>
        </row>
        <row r="3560">
          <cell r="A3560" t="str">
            <v>Multi-Year Budget Sub Activities</v>
          </cell>
        </row>
        <row r="3569">
          <cell r="A3569" t="str">
            <v xml:space="preserve"> Sub total Year One</v>
          </cell>
        </row>
        <row r="3576">
          <cell r="A3576" t="str">
            <v>Enter activity Code first</v>
          </cell>
        </row>
        <row r="3578">
          <cell r="A3578" t="str">
            <v>Multi-Year Budget Sub Activities</v>
          </cell>
        </row>
        <row r="3587">
          <cell r="A3587" t="str">
            <v xml:space="preserve"> Sub total Year One</v>
          </cell>
        </row>
        <row r="3594">
          <cell r="A3594" t="str">
            <v>Enter activity Code first</v>
          </cell>
        </row>
        <row r="3596">
          <cell r="A3596" t="str">
            <v>Multi-Year Budget Sub Activities</v>
          </cell>
        </row>
        <row r="3605">
          <cell r="A3605" t="str">
            <v xml:space="preserve"> Sub total Year One</v>
          </cell>
        </row>
        <row r="3612">
          <cell r="A3612" t="str">
            <v>Enter activity Code first</v>
          </cell>
        </row>
        <row r="3614">
          <cell r="A3614" t="str">
            <v>Multi-Year Budget Sub Activities</v>
          </cell>
        </row>
        <row r="3623">
          <cell r="A3623" t="str">
            <v xml:space="preserve"> Sub total Year One</v>
          </cell>
        </row>
        <row r="3630">
          <cell r="A3630" t="str">
            <v>Enter activity Code first</v>
          </cell>
        </row>
        <row r="3632">
          <cell r="A3632" t="str">
            <v>Multi-Year Budget Sub Activities</v>
          </cell>
        </row>
        <row r="3641">
          <cell r="A3641" t="str">
            <v xml:space="preserve"> Sub total Year One</v>
          </cell>
        </row>
        <row r="3649">
          <cell r="A3649" t="str">
            <v>Enter activity Code first</v>
          </cell>
        </row>
        <row r="3651">
          <cell r="A3651" t="str">
            <v>Multi-Year Budget Sub Activities</v>
          </cell>
        </row>
        <row r="3660">
          <cell r="A3660" t="str">
            <v xml:space="preserve"> Sub total Year One</v>
          </cell>
        </row>
        <row r="3667">
          <cell r="A3667" t="str">
            <v>Enter activity Code first</v>
          </cell>
        </row>
        <row r="3669">
          <cell r="A3669" t="str">
            <v>Multi-Year Budget Sub Activities</v>
          </cell>
        </row>
        <row r="3678">
          <cell r="A3678" t="str">
            <v xml:space="preserve"> Sub total Year One</v>
          </cell>
        </row>
        <row r="3685">
          <cell r="A3685" t="str">
            <v>Enter activity Code first</v>
          </cell>
        </row>
        <row r="3687">
          <cell r="A3687" t="str">
            <v>Multi-Year Budget Sub Activities</v>
          </cell>
        </row>
        <row r="3696">
          <cell r="A3696" t="str">
            <v xml:space="preserve"> Sub total Year One</v>
          </cell>
        </row>
        <row r="3703">
          <cell r="A3703" t="str">
            <v>Enter activity Code first</v>
          </cell>
        </row>
        <row r="3705">
          <cell r="A3705" t="str">
            <v>Multi-Year Budget Sub Activities</v>
          </cell>
        </row>
        <row r="3714">
          <cell r="A3714" t="str">
            <v xml:space="preserve"> Sub total Year One</v>
          </cell>
        </row>
        <row r="3721">
          <cell r="A3721" t="str">
            <v>Enter activity Code first</v>
          </cell>
        </row>
        <row r="3723">
          <cell r="A3723" t="str">
            <v>Multi-Year Budget Sub Activities</v>
          </cell>
        </row>
        <row r="3732">
          <cell r="A3732" t="str">
            <v xml:space="preserve"> Sub total Year One</v>
          </cell>
        </row>
        <row r="3740">
          <cell r="A3740" t="str">
            <v>Enter activity Code first</v>
          </cell>
        </row>
        <row r="3742">
          <cell r="A3742" t="str">
            <v>Multi-Year Budget Sub Activities</v>
          </cell>
        </row>
        <row r="3751">
          <cell r="A3751" t="str">
            <v xml:space="preserve"> Sub total Year One</v>
          </cell>
        </row>
        <row r="3758">
          <cell r="A3758" t="str">
            <v>Enter activity Code first</v>
          </cell>
        </row>
        <row r="3760">
          <cell r="A3760" t="str">
            <v>Multi-Year Budget Sub Activities</v>
          </cell>
        </row>
        <row r="3769">
          <cell r="A3769" t="str">
            <v xml:space="preserve"> Sub total Year One</v>
          </cell>
        </row>
        <row r="3776">
          <cell r="A3776" t="str">
            <v>Enter activity Code first</v>
          </cell>
        </row>
        <row r="3778">
          <cell r="A3778" t="str">
            <v>Multi-Year Budget Sub Activities</v>
          </cell>
        </row>
        <row r="3787">
          <cell r="A3787" t="str">
            <v xml:space="preserve"> Sub total Year One</v>
          </cell>
        </row>
        <row r="3794">
          <cell r="A3794" t="str">
            <v>Enter activity Code first</v>
          </cell>
        </row>
        <row r="3796">
          <cell r="A3796" t="str">
            <v>Multi-Year Budget Sub Activities</v>
          </cell>
        </row>
        <row r="3805">
          <cell r="A3805" t="str">
            <v xml:space="preserve"> Sub total Year One</v>
          </cell>
        </row>
        <row r="3812">
          <cell r="A3812" t="str">
            <v>Enter activity Code first</v>
          </cell>
        </row>
        <row r="3814">
          <cell r="A3814" t="str">
            <v>Multi-Year Budget Sub Activities</v>
          </cell>
        </row>
        <row r="3823">
          <cell r="A3823" t="str">
            <v xml:space="preserve"> Sub total Year One</v>
          </cell>
        </row>
        <row r="3831">
          <cell r="A3831" t="str">
            <v>Enter activity Code first</v>
          </cell>
        </row>
        <row r="3833">
          <cell r="A3833" t="str">
            <v>Multi-Year Budget Sub Activities</v>
          </cell>
        </row>
        <row r="3842">
          <cell r="A3842" t="str">
            <v xml:space="preserve"> Sub total Year One</v>
          </cell>
        </row>
        <row r="3849">
          <cell r="A3849" t="str">
            <v>Enter activity Code first</v>
          </cell>
        </row>
        <row r="3851">
          <cell r="A3851" t="str">
            <v>Multi-Year Budget Sub Activities</v>
          </cell>
        </row>
        <row r="3860">
          <cell r="A3860" t="str">
            <v xml:space="preserve"> Sub total Year One</v>
          </cell>
        </row>
        <row r="3867">
          <cell r="A3867" t="str">
            <v>Enter activity Code first</v>
          </cell>
        </row>
        <row r="3869">
          <cell r="A3869" t="str">
            <v>Multi-Year Budget Sub Activities</v>
          </cell>
        </row>
        <row r="3878">
          <cell r="A3878" t="str">
            <v xml:space="preserve"> Sub total Year One</v>
          </cell>
        </row>
        <row r="3885">
          <cell r="A3885" t="str">
            <v>Enter activity Code first</v>
          </cell>
        </row>
        <row r="3887">
          <cell r="A3887" t="str">
            <v>Multi-Year Budget Sub Activities</v>
          </cell>
        </row>
        <row r="3896">
          <cell r="A3896" t="str">
            <v xml:space="preserve"> Sub total Year One</v>
          </cell>
        </row>
        <row r="3903">
          <cell r="A3903" t="str">
            <v>Enter activity Code first</v>
          </cell>
        </row>
        <row r="3905">
          <cell r="A3905" t="str">
            <v>Multi-Year Budget Sub Activities</v>
          </cell>
        </row>
        <row r="3914">
          <cell r="A3914" t="str">
            <v xml:space="preserve"> Sub total Year One</v>
          </cell>
        </row>
        <row r="3922">
          <cell r="A3922" t="str">
            <v>Enter activity Code first</v>
          </cell>
        </row>
        <row r="3924">
          <cell r="A3924" t="str">
            <v>Multi-Year Budget Sub Activities</v>
          </cell>
        </row>
        <row r="3933">
          <cell r="A3933" t="str">
            <v xml:space="preserve"> Sub total Year One</v>
          </cell>
        </row>
        <row r="3940">
          <cell r="A3940" t="str">
            <v>Enter activity Code first</v>
          </cell>
        </row>
        <row r="3942">
          <cell r="A3942" t="str">
            <v>Multi-Year Budget Sub Activities</v>
          </cell>
        </row>
        <row r="3951">
          <cell r="A3951" t="str">
            <v xml:space="preserve"> Sub total Year One</v>
          </cell>
        </row>
        <row r="3958">
          <cell r="A3958" t="str">
            <v>Enter activity Code first</v>
          </cell>
        </row>
        <row r="3960">
          <cell r="A3960" t="str">
            <v>Multi-Year Budget Sub Activities</v>
          </cell>
        </row>
        <row r="3969">
          <cell r="A3969" t="str">
            <v xml:space="preserve"> Sub total Year One</v>
          </cell>
        </row>
        <row r="3976">
          <cell r="A3976" t="str">
            <v>Enter activity Code first</v>
          </cell>
        </row>
        <row r="3978">
          <cell r="A3978" t="str">
            <v>Multi-Year Budget Sub Activities</v>
          </cell>
        </row>
        <row r="3987">
          <cell r="A3987" t="str">
            <v xml:space="preserve"> Sub total Year One</v>
          </cell>
        </row>
        <row r="3994">
          <cell r="A3994" t="str">
            <v>Enter activity Code first</v>
          </cell>
        </row>
        <row r="3996">
          <cell r="A3996" t="str">
            <v>Multi-Year Budget Sub Activities</v>
          </cell>
        </row>
        <row r="4005">
          <cell r="A4005" t="str">
            <v xml:space="preserve"> Sub total Year One</v>
          </cell>
        </row>
        <row r="4013">
          <cell r="A4013" t="str">
            <v>Enter activity Code first</v>
          </cell>
        </row>
        <row r="4015">
          <cell r="A4015" t="str">
            <v>Multi-Year Budget Sub Activities</v>
          </cell>
        </row>
        <row r="4024">
          <cell r="A4024" t="str">
            <v xml:space="preserve"> Sub total Year One</v>
          </cell>
        </row>
        <row r="4031">
          <cell r="A4031" t="str">
            <v>Enter activity Code first</v>
          </cell>
        </row>
        <row r="4033">
          <cell r="A4033" t="str">
            <v>Multi-Year Budget Sub Activities</v>
          </cell>
        </row>
        <row r="4042">
          <cell r="A4042" t="str">
            <v xml:space="preserve"> Sub total Year One</v>
          </cell>
        </row>
        <row r="4049">
          <cell r="A4049" t="str">
            <v>Enter activity Code first</v>
          </cell>
        </row>
        <row r="4051">
          <cell r="A4051" t="str">
            <v>Multi-Year Budget Sub Activities</v>
          </cell>
        </row>
        <row r="4060">
          <cell r="A4060" t="str">
            <v xml:space="preserve"> Sub total Year One</v>
          </cell>
        </row>
        <row r="4067">
          <cell r="A4067" t="str">
            <v>Enter activity Code first</v>
          </cell>
        </row>
        <row r="4069">
          <cell r="A4069" t="str">
            <v>Multi-Year Budget Sub Activities</v>
          </cell>
        </row>
        <row r="4078">
          <cell r="A4078" t="str">
            <v xml:space="preserve"> Sub total Year One</v>
          </cell>
        </row>
        <row r="4085">
          <cell r="A4085" t="str">
            <v>Enter activity Code first</v>
          </cell>
        </row>
        <row r="4087">
          <cell r="A4087" t="str">
            <v>Multi-Year Budget Sub Activities</v>
          </cell>
        </row>
        <row r="4096">
          <cell r="A4096" t="str">
            <v xml:space="preserve"> Sub total Year One</v>
          </cell>
        </row>
        <row r="4104">
          <cell r="A4104" t="str">
            <v>Enter activity Code first</v>
          </cell>
        </row>
        <row r="4106">
          <cell r="A4106" t="str">
            <v>Multi-Year Budget Sub Activities</v>
          </cell>
        </row>
        <row r="4115">
          <cell r="A4115" t="str">
            <v xml:space="preserve"> Sub total Year One</v>
          </cell>
        </row>
        <row r="4122">
          <cell r="A4122" t="str">
            <v>Enter activity Code first</v>
          </cell>
        </row>
        <row r="4124">
          <cell r="A4124" t="str">
            <v>Multi-Year Budget Sub Activities</v>
          </cell>
        </row>
        <row r="4133">
          <cell r="A4133" t="str">
            <v xml:space="preserve"> Sub total Year One</v>
          </cell>
        </row>
        <row r="4140">
          <cell r="A4140" t="str">
            <v>Enter activity Code first</v>
          </cell>
        </row>
        <row r="4142">
          <cell r="A4142" t="str">
            <v>Multi-Year Budget Sub Activities</v>
          </cell>
        </row>
        <row r="4151">
          <cell r="A4151" t="str">
            <v xml:space="preserve"> Sub total Year One</v>
          </cell>
        </row>
        <row r="4158">
          <cell r="A4158" t="str">
            <v>Enter activity Code first</v>
          </cell>
        </row>
        <row r="4160">
          <cell r="A4160" t="str">
            <v>Multi-Year Budget Sub Activities</v>
          </cell>
        </row>
        <row r="4169">
          <cell r="A4169" t="str">
            <v xml:space="preserve"> Sub total Year One</v>
          </cell>
        </row>
        <row r="4176">
          <cell r="A4176" t="str">
            <v>Enter activity Code first</v>
          </cell>
        </row>
        <row r="4178">
          <cell r="A4178" t="str">
            <v>Multi-Year Budget Sub Activities</v>
          </cell>
        </row>
        <row r="4187">
          <cell r="A4187" t="str">
            <v xml:space="preserve"> Sub total Year One</v>
          </cell>
        </row>
        <row r="4195">
          <cell r="A4195" t="str">
            <v>Enter activity Code first</v>
          </cell>
        </row>
        <row r="4197">
          <cell r="A4197" t="str">
            <v>Multi-Year Budget Sub Activities</v>
          </cell>
        </row>
        <row r="4206">
          <cell r="A4206" t="str">
            <v xml:space="preserve"> Sub total Year One</v>
          </cell>
        </row>
        <row r="4213">
          <cell r="A4213" t="str">
            <v>Enter activity Code first</v>
          </cell>
        </row>
        <row r="4215">
          <cell r="A4215" t="str">
            <v>Multi-Year Budget Sub Activities</v>
          </cell>
        </row>
        <row r="4224">
          <cell r="A4224" t="str">
            <v xml:space="preserve"> Sub total Year One</v>
          </cell>
        </row>
        <row r="4231">
          <cell r="A4231" t="str">
            <v>Enter activity Code first</v>
          </cell>
        </row>
        <row r="4233">
          <cell r="A4233" t="str">
            <v>Multi-Year Budget Sub Activities</v>
          </cell>
        </row>
        <row r="4242">
          <cell r="A4242" t="str">
            <v xml:space="preserve"> Sub total Year One</v>
          </cell>
        </row>
        <row r="4249">
          <cell r="A4249" t="str">
            <v>Enter activity Code first</v>
          </cell>
        </row>
        <row r="4251">
          <cell r="A4251" t="str">
            <v>Multi-Year Budget Sub Activities</v>
          </cell>
        </row>
        <row r="4260">
          <cell r="A4260" t="str">
            <v xml:space="preserve"> Sub total Year One</v>
          </cell>
        </row>
        <row r="4267">
          <cell r="A4267" t="str">
            <v>Enter activity Code first</v>
          </cell>
        </row>
        <row r="4269">
          <cell r="A4269" t="str">
            <v>Multi-Year Budget Sub Activities</v>
          </cell>
        </row>
        <row r="4278">
          <cell r="A4278" t="str">
            <v xml:space="preserve"> Sub total Year One</v>
          </cell>
        </row>
        <row r="4286">
          <cell r="A4286" t="str">
            <v>Enter activity Code first</v>
          </cell>
        </row>
        <row r="4288">
          <cell r="A4288" t="str">
            <v>Multi-Year Budget Sub Activities</v>
          </cell>
        </row>
        <row r="4297">
          <cell r="A4297" t="str">
            <v xml:space="preserve"> Sub total Year One</v>
          </cell>
        </row>
        <row r="4304">
          <cell r="A4304" t="str">
            <v>Enter activity Code first</v>
          </cell>
        </row>
        <row r="4306">
          <cell r="A4306" t="str">
            <v>Multi-Year Budget Sub Activities</v>
          </cell>
        </row>
        <row r="4315">
          <cell r="A4315" t="str">
            <v xml:space="preserve"> Sub total Year One</v>
          </cell>
        </row>
        <row r="4322">
          <cell r="A4322" t="str">
            <v>Enter activity Code first</v>
          </cell>
        </row>
        <row r="4324">
          <cell r="A4324" t="str">
            <v>Multi-Year Budget Sub Activities</v>
          </cell>
        </row>
        <row r="4333">
          <cell r="A4333" t="str">
            <v xml:space="preserve"> Sub total Year One</v>
          </cell>
        </row>
        <row r="4340">
          <cell r="A4340" t="str">
            <v>Enter activity Code first</v>
          </cell>
        </row>
        <row r="4342">
          <cell r="A4342" t="str">
            <v>Multi-Year Budget Sub Activities</v>
          </cell>
        </row>
        <row r="4351">
          <cell r="A4351" t="str">
            <v xml:space="preserve"> Sub total Year One</v>
          </cell>
        </row>
        <row r="4358">
          <cell r="A4358" t="str">
            <v>Enter activity Code first</v>
          </cell>
        </row>
        <row r="4360">
          <cell r="A4360" t="str">
            <v>Multi-Year Budget Sub Activities</v>
          </cell>
        </row>
        <row r="4369">
          <cell r="A4369" t="str">
            <v xml:space="preserve"> Sub total Year One</v>
          </cell>
        </row>
        <row r="4377">
          <cell r="A4377" t="str">
            <v>Enter activity Code first</v>
          </cell>
        </row>
        <row r="4379">
          <cell r="A4379" t="str">
            <v>Multi-Year Budget Sub Activities</v>
          </cell>
        </row>
        <row r="4388">
          <cell r="A4388" t="str">
            <v xml:space="preserve"> Sub total Year One</v>
          </cell>
        </row>
        <row r="4395">
          <cell r="A4395" t="str">
            <v>Enter activity Code first</v>
          </cell>
        </row>
        <row r="4397">
          <cell r="A4397" t="str">
            <v>Multi-Year Budget Sub Activities</v>
          </cell>
        </row>
        <row r="4406">
          <cell r="A4406" t="str">
            <v xml:space="preserve"> Sub total Year One</v>
          </cell>
        </row>
        <row r="4413">
          <cell r="A4413" t="str">
            <v>Enter activity Code first</v>
          </cell>
        </row>
        <row r="4415">
          <cell r="A4415" t="str">
            <v>Multi-Year Budget Sub Activities</v>
          </cell>
        </row>
        <row r="4424">
          <cell r="A4424" t="str">
            <v xml:space="preserve"> Sub total Year One</v>
          </cell>
        </row>
        <row r="4431">
          <cell r="A4431" t="str">
            <v>Enter activity Code first</v>
          </cell>
        </row>
        <row r="4433">
          <cell r="A4433" t="str">
            <v>Multi-Year Budget Sub Activities</v>
          </cell>
        </row>
        <row r="4442">
          <cell r="A4442" t="str">
            <v xml:space="preserve"> Sub total Year One</v>
          </cell>
        </row>
        <row r="4449">
          <cell r="A4449" t="str">
            <v>Enter activity Code first</v>
          </cell>
        </row>
        <row r="4451">
          <cell r="A4451" t="str">
            <v>Multi-Year Budget Sub Activities</v>
          </cell>
        </row>
        <row r="4460">
          <cell r="A4460" t="str">
            <v xml:space="preserve"> Sub total Year One</v>
          </cell>
        </row>
        <row r="4468">
          <cell r="A4468" t="str">
            <v>Enter activity Code first</v>
          </cell>
        </row>
        <row r="4470">
          <cell r="A4470" t="str">
            <v>Multi-Year Budget Sub Activities</v>
          </cell>
        </row>
        <row r="4479">
          <cell r="A4479" t="str">
            <v xml:space="preserve"> Sub total Year One</v>
          </cell>
        </row>
        <row r="4486">
          <cell r="A4486" t="str">
            <v>Enter activity Code first</v>
          </cell>
        </row>
        <row r="4488">
          <cell r="A4488" t="str">
            <v>Multi-Year Budget Sub Activities</v>
          </cell>
        </row>
        <row r="4497">
          <cell r="A4497" t="str">
            <v xml:space="preserve"> Sub total Year One</v>
          </cell>
        </row>
        <row r="4504">
          <cell r="A4504" t="str">
            <v>Enter activity Code first</v>
          </cell>
        </row>
        <row r="4506">
          <cell r="A4506" t="str">
            <v>Multi-Year Budget Sub Activities</v>
          </cell>
        </row>
        <row r="4515">
          <cell r="A4515" t="str">
            <v xml:space="preserve"> Sub total Year One</v>
          </cell>
        </row>
        <row r="4522">
          <cell r="A4522" t="str">
            <v>Enter activity Code first</v>
          </cell>
        </row>
        <row r="4524">
          <cell r="A4524" t="str">
            <v>Multi-Year Budget Sub Activities</v>
          </cell>
        </row>
        <row r="4533">
          <cell r="A4533" t="str">
            <v xml:space="preserve"> Sub total Year One</v>
          </cell>
        </row>
        <row r="4540">
          <cell r="A4540" t="str">
            <v>Enter activity Code first</v>
          </cell>
        </row>
        <row r="4542">
          <cell r="A4542" t="str">
            <v>Multi-Year Budget Sub Activities</v>
          </cell>
        </row>
        <row r="4551">
          <cell r="A4551" t="str">
            <v xml:space="preserve"> Sub total Year One</v>
          </cell>
        </row>
        <row r="4559">
          <cell r="A4559" t="str">
            <v>Enter activity Code first</v>
          </cell>
        </row>
        <row r="4561">
          <cell r="A4561" t="str">
            <v>Multi-Year Budget Sub Activities</v>
          </cell>
        </row>
        <row r="4570">
          <cell r="A4570" t="str">
            <v xml:space="preserve"> Sub total Year One</v>
          </cell>
        </row>
        <row r="4577">
          <cell r="A4577" t="str">
            <v>Enter activity Code first</v>
          </cell>
        </row>
        <row r="4579">
          <cell r="A4579" t="str">
            <v>Multi-Year Budget Sub Activities</v>
          </cell>
        </row>
        <row r="4588">
          <cell r="A4588" t="str">
            <v xml:space="preserve"> Sub total Year One</v>
          </cell>
        </row>
        <row r="4595">
          <cell r="A4595" t="str">
            <v>Enter activity Code first</v>
          </cell>
        </row>
        <row r="4597">
          <cell r="A4597" t="str">
            <v>Multi-Year Budget Sub Activities</v>
          </cell>
        </row>
        <row r="4606">
          <cell r="A4606" t="str">
            <v xml:space="preserve"> Sub total Year One</v>
          </cell>
        </row>
        <row r="4613">
          <cell r="A4613" t="str">
            <v>Not Specified</v>
          </cell>
        </row>
        <row r="4615">
          <cell r="A4615" t="str">
            <v>Multi-Year Budget Sub Activities</v>
          </cell>
        </row>
        <row r="4624">
          <cell r="A4624" t="str">
            <v xml:space="preserve"> Sub total Year One</v>
          </cell>
        </row>
        <row r="4631">
          <cell r="A4631" t="str">
            <v>Not Specified</v>
          </cell>
        </row>
        <row r="4633">
          <cell r="A4633" t="str">
            <v>Multi-Year Budget Sub Activities</v>
          </cell>
        </row>
        <row r="4642">
          <cell r="A4642" t="str">
            <v xml:space="preserve"> Sub total Year One</v>
          </cell>
        </row>
        <row r="4650">
          <cell r="A4650" t="str">
            <v>Not Specified</v>
          </cell>
        </row>
        <row r="4652">
          <cell r="A4652" t="str">
            <v>Multi-Year Budget Sub Activities</v>
          </cell>
        </row>
        <row r="4661">
          <cell r="A4661" t="str">
            <v xml:space="preserve"> Sub total Year One</v>
          </cell>
        </row>
        <row r="4668">
          <cell r="A4668" t="str">
            <v>Not Specified</v>
          </cell>
        </row>
        <row r="4670">
          <cell r="A4670" t="str">
            <v>Multi-Year Budget Sub Activities</v>
          </cell>
        </row>
        <row r="4679">
          <cell r="A4679" t="str">
            <v xml:space="preserve"> Sub total Year One</v>
          </cell>
        </row>
        <row r="4686">
          <cell r="A4686" t="str">
            <v>Not Specified</v>
          </cell>
        </row>
        <row r="4688">
          <cell r="A4688" t="str">
            <v>Multi-Year Budget Sub Activities</v>
          </cell>
        </row>
        <row r="4697">
          <cell r="A4697" t="str">
            <v xml:space="preserve"> Sub total Year One</v>
          </cell>
        </row>
        <row r="4704">
          <cell r="A4704" t="str">
            <v>Not Specified</v>
          </cell>
        </row>
        <row r="4706">
          <cell r="A4706" t="str">
            <v>Multi-Year Budget Sub Activities</v>
          </cell>
        </row>
        <row r="4715">
          <cell r="A4715" t="str">
            <v xml:space="preserve"> Sub total Year One</v>
          </cell>
        </row>
        <row r="4722">
          <cell r="A4722" t="str">
            <v>Not Specified</v>
          </cell>
        </row>
        <row r="4724">
          <cell r="A4724" t="str">
            <v>Multi-Year Budget Sub Activities</v>
          </cell>
        </row>
        <row r="4733">
          <cell r="A4733" t="str">
            <v xml:space="preserve"> Sub total Year One</v>
          </cell>
        </row>
        <row r="4741">
          <cell r="A4741" t="str">
            <v>Not Specified</v>
          </cell>
        </row>
        <row r="4743">
          <cell r="A4743" t="str">
            <v>Multi-Year Budget Sub Activities</v>
          </cell>
        </row>
        <row r="4752">
          <cell r="A4752" t="str">
            <v xml:space="preserve"> Sub total Year One</v>
          </cell>
        </row>
        <row r="4759">
          <cell r="A4759" t="str">
            <v>Not Specified</v>
          </cell>
        </row>
        <row r="4761">
          <cell r="A4761" t="str">
            <v>Multi-Year Budget Sub Activities</v>
          </cell>
        </row>
        <row r="4770">
          <cell r="A4770" t="str">
            <v xml:space="preserve"> Sub total Year One</v>
          </cell>
        </row>
        <row r="4777">
          <cell r="A4777" t="str">
            <v>Not Specified</v>
          </cell>
        </row>
        <row r="4779">
          <cell r="A4779" t="str">
            <v>Multi-Year Budget Sub Activities</v>
          </cell>
        </row>
        <row r="4788">
          <cell r="A4788" t="str">
            <v xml:space="preserve"> Sub total Year One</v>
          </cell>
        </row>
        <row r="4795">
          <cell r="A4795" t="str">
            <v>Enter activity Code first</v>
          </cell>
        </row>
        <row r="4797">
          <cell r="A4797" t="str">
            <v>Multi-Year Budget Sub Activities</v>
          </cell>
        </row>
        <row r="4806">
          <cell r="A4806" t="str">
            <v xml:space="preserve"> Sub total Year One</v>
          </cell>
        </row>
        <row r="4813">
          <cell r="A4813" t="str">
            <v>Enter activity Code first</v>
          </cell>
        </row>
        <row r="4815">
          <cell r="A4815" t="str">
            <v>Multi-Year Budget Sub Activities</v>
          </cell>
        </row>
        <row r="4824">
          <cell r="A4824" t="str">
            <v xml:space="preserve"> Sub total Year One</v>
          </cell>
        </row>
        <row r="4832">
          <cell r="A4832" t="str">
            <v>Not Specified</v>
          </cell>
        </row>
        <row r="4834">
          <cell r="A4834" t="str">
            <v>Multi-Year Budget Sub Activities</v>
          </cell>
        </row>
        <row r="4843">
          <cell r="A4843" t="str">
            <v xml:space="preserve"> Sub total Year One</v>
          </cell>
        </row>
        <row r="4850">
          <cell r="A4850" t="str">
            <v>Enter activity Code first</v>
          </cell>
        </row>
        <row r="4852">
          <cell r="A4852" t="str">
            <v>Multi-Year Budget Sub Activities</v>
          </cell>
        </row>
        <row r="4861">
          <cell r="A4861" t="str">
            <v xml:space="preserve"> Sub total Year One</v>
          </cell>
        </row>
        <row r="4868">
          <cell r="A4868" t="str">
            <v>Enter activity Code first</v>
          </cell>
        </row>
        <row r="4870">
          <cell r="A4870" t="str">
            <v>Multi-Year Budget Sub Activities</v>
          </cell>
        </row>
        <row r="4879">
          <cell r="A4879" t="str">
            <v xml:space="preserve"> Sub total Year One</v>
          </cell>
        </row>
        <row r="4886">
          <cell r="A4886" t="str">
            <v>Enter activity Code first</v>
          </cell>
        </row>
        <row r="4888">
          <cell r="A4888" t="str">
            <v>Multi-Year Budget Sub Activities</v>
          </cell>
        </row>
        <row r="4897">
          <cell r="A4897" t="str">
            <v xml:space="preserve"> Sub total Year One</v>
          </cell>
        </row>
        <row r="4904">
          <cell r="A4904" t="str">
            <v>Enter activity Code first</v>
          </cell>
        </row>
        <row r="4906">
          <cell r="A4906" t="str">
            <v>Multi-Year Budget Sub Activities</v>
          </cell>
        </row>
        <row r="4915">
          <cell r="A4915" t="str">
            <v xml:space="preserve"> Sub total Year One</v>
          </cell>
        </row>
        <row r="4923">
          <cell r="A4923" t="str">
            <v>Enter activity Code first</v>
          </cell>
        </row>
        <row r="4925">
          <cell r="A4925" t="str">
            <v>Multi-Year Budget Sub Activities</v>
          </cell>
        </row>
        <row r="4934">
          <cell r="A4934" t="str">
            <v xml:space="preserve"> Sub total Year One</v>
          </cell>
        </row>
        <row r="4941">
          <cell r="A4941" t="str">
            <v>Enter activity Code first</v>
          </cell>
        </row>
        <row r="4943">
          <cell r="A4943" t="str">
            <v>Multi-Year Budget Sub Activities</v>
          </cell>
        </row>
        <row r="4952">
          <cell r="A4952" t="str">
            <v xml:space="preserve"> Sub total Year One</v>
          </cell>
        </row>
        <row r="4959">
          <cell r="A4959" t="str">
            <v>Enter activity Code first</v>
          </cell>
        </row>
        <row r="4961">
          <cell r="A4961" t="str">
            <v>Multi-Year Budget Sub Activities</v>
          </cell>
        </row>
        <row r="4970">
          <cell r="A4970" t="str">
            <v xml:space="preserve"> Sub total Year One</v>
          </cell>
        </row>
        <row r="4977">
          <cell r="A4977" t="str">
            <v>Enter activity Code first</v>
          </cell>
        </row>
        <row r="4979">
          <cell r="A4979" t="str">
            <v>Multi-Year Budget Sub Activities</v>
          </cell>
        </row>
        <row r="4988">
          <cell r="A4988" t="str">
            <v xml:space="preserve"> Sub total Year One</v>
          </cell>
        </row>
        <row r="4995">
          <cell r="A4995" t="str">
            <v>Enter activity Code first</v>
          </cell>
        </row>
        <row r="4997">
          <cell r="A4997" t="str">
            <v>Multi-Year Budget Sub Activities</v>
          </cell>
        </row>
        <row r="5006">
          <cell r="A5006" t="str">
            <v xml:space="preserve"> Sub total Year One</v>
          </cell>
        </row>
        <row r="5014">
          <cell r="A5014" t="str">
            <v>Enter activity Code first</v>
          </cell>
        </row>
        <row r="5016">
          <cell r="A5016" t="str">
            <v>Multi-Year Budget Sub Activities</v>
          </cell>
        </row>
        <row r="5025">
          <cell r="A5025" t="str">
            <v xml:space="preserve"> Sub total Year One</v>
          </cell>
        </row>
        <row r="5032">
          <cell r="A5032" t="str">
            <v>Enter activity Code first</v>
          </cell>
        </row>
        <row r="5034">
          <cell r="A5034" t="str">
            <v>Multi-Year Budget Sub Activities</v>
          </cell>
        </row>
        <row r="5043">
          <cell r="A5043" t="str">
            <v xml:space="preserve"> Sub total Year One</v>
          </cell>
        </row>
        <row r="5050">
          <cell r="A5050" t="str">
            <v>Enter activity Code first</v>
          </cell>
        </row>
        <row r="5052">
          <cell r="A5052" t="str">
            <v>Multi-Year Budget Sub Activities</v>
          </cell>
        </row>
        <row r="5061">
          <cell r="A5061" t="str">
            <v xml:space="preserve"> Sub total Year One</v>
          </cell>
        </row>
        <row r="5068">
          <cell r="A5068" t="str">
            <v>Enter activity Code first</v>
          </cell>
        </row>
        <row r="5070">
          <cell r="A5070" t="str">
            <v>Multi-Year Budget Sub Activities</v>
          </cell>
        </row>
        <row r="5079">
          <cell r="A5079" t="str">
            <v xml:space="preserve"> Sub total Year One</v>
          </cell>
        </row>
        <row r="5086">
          <cell r="A5086" t="str">
            <v>Enter activity Code first</v>
          </cell>
        </row>
        <row r="5088">
          <cell r="A5088" t="str">
            <v>Multi-Year Budget Sub Activities</v>
          </cell>
        </row>
        <row r="5097">
          <cell r="A5097" t="str">
            <v xml:space="preserve"> Sub total Year One</v>
          </cell>
        </row>
        <row r="5105">
          <cell r="A5105" t="str">
            <v>Not Specified</v>
          </cell>
        </row>
        <row r="5107">
          <cell r="A5107" t="str">
            <v>Multi-Year Budget Sub Activities</v>
          </cell>
        </row>
        <row r="5116">
          <cell r="A5116" t="str">
            <v xml:space="preserve"> Sub total Year One</v>
          </cell>
        </row>
        <row r="5123">
          <cell r="A5123" t="str">
            <v>Not Specified</v>
          </cell>
        </row>
        <row r="5125">
          <cell r="A5125" t="str">
            <v>Multi-Year Budget Sub Activities</v>
          </cell>
        </row>
        <row r="5134">
          <cell r="A5134" t="str">
            <v xml:space="preserve"> Sub total Year One</v>
          </cell>
        </row>
        <row r="5141">
          <cell r="A5141" t="str">
            <v>Not Specified</v>
          </cell>
        </row>
        <row r="5143">
          <cell r="A5143" t="str">
            <v>Multi-Year Budget Sub Activities</v>
          </cell>
        </row>
        <row r="5152">
          <cell r="A5152" t="str">
            <v xml:space="preserve"> Sub total Year One</v>
          </cell>
        </row>
        <row r="5159">
          <cell r="A5159" t="str">
            <v>Enter activity Code first</v>
          </cell>
        </row>
        <row r="5161">
          <cell r="A5161" t="str">
            <v>Multi-Year Budget Sub Activities</v>
          </cell>
        </row>
        <row r="5170">
          <cell r="A5170" t="str">
            <v xml:space="preserve"> Sub total Year One</v>
          </cell>
        </row>
        <row r="5177">
          <cell r="A5177" t="str">
            <v>Not Specified</v>
          </cell>
        </row>
        <row r="5179">
          <cell r="A5179" t="str">
            <v>Multi-Year Budget Sub Activities</v>
          </cell>
        </row>
        <row r="5188">
          <cell r="A5188" t="str">
            <v xml:space="preserve"> Sub total Year One</v>
          </cell>
        </row>
        <row r="5196">
          <cell r="A5196" t="str">
            <v>Enter activity Code first</v>
          </cell>
        </row>
        <row r="5198">
          <cell r="A5198" t="str">
            <v>Multi-Year Budget Sub Activities</v>
          </cell>
        </row>
        <row r="5207">
          <cell r="A5207" t="str">
            <v xml:space="preserve"> Sub total Year One</v>
          </cell>
        </row>
        <row r="5214">
          <cell r="A5214" t="str">
            <v>Enter activity Code first</v>
          </cell>
        </row>
        <row r="5216">
          <cell r="A5216" t="str">
            <v>Multi-Year Budget Sub Activities</v>
          </cell>
        </row>
        <row r="5225">
          <cell r="A5225" t="str">
            <v xml:space="preserve"> Sub total Year One</v>
          </cell>
        </row>
        <row r="5232">
          <cell r="A5232" t="str">
            <v>Not Specified</v>
          </cell>
        </row>
        <row r="5234">
          <cell r="A5234" t="str">
            <v>Multi-Year Budget Sub Activities</v>
          </cell>
        </row>
        <row r="5243">
          <cell r="A5243" t="str">
            <v xml:space="preserve"> Sub total Year One</v>
          </cell>
        </row>
        <row r="5250">
          <cell r="A5250" t="str">
            <v>Not Specified</v>
          </cell>
        </row>
        <row r="5252">
          <cell r="A5252" t="str">
            <v>Multi-Year Budget Sub Activities</v>
          </cell>
        </row>
        <row r="5261">
          <cell r="A5261" t="str">
            <v xml:space="preserve"> Sub total Year One</v>
          </cell>
        </row>
        <row r="5268">
          <cell r="A5268" t="str">
            <v>Enter activity Code first</v>
          </cell>
        </row>
        <row r="5270">
          <cell r="A5270" t="str">
            <v>Multi-Year Budget Sub Activities</v>
          </cell>
        </row>
        <row r="5279">
          <cell r="A5279" t="str">
            <v xml:space="preserve"> Sub total Year One</v>
          </cell>
        </row>
        <row r="5287">
          <cell r="A5287" t="str">
            <v>Not Specified</v>
          </cell>
        </row>
        <row r="5289">
          <cell r="A5289" t="str">
            <v>Multi-Year Budget Sub Activities</v>
          </cell>
        </row>
        <row r="5298">
          <cell r="A5298" t="str">
            <v xml:space="preserve"> Sub total Year One</v>
          </cell>
        </row>
        <row r="5305">
          <cell r="A5305" t="str">
            <v>Not Specified</v>
          </cell>
        </row>
        <row r="5307">
          <cell r="A5307" t="str">
            <v>Multi-Year Budget Sub Activities</v>
          </cell>
        </row>
        <row r="5316">
          <cell r="A5316" t="str">
            <v xml:space="preserve"> Sub total Year One</v>
          </cell>
        </row>
        <row r="5323">
          <cell r="A5323" t="str">
            <v>Enter activity Code first</v>
          </cell>
        </row>
        <row r="5325">
          <cell r="A5325" t="str">
            <v>Multi-Year Budget Sub Activities</v>
          </cell>
        </row>
        <row r="5334">
          <cell r="A5334" t="str">
            <v xml:space="preserve"> Sub total Year One</v>
          </cell>
        </row>
        <row r="5341">
          <cell r="A5341" t="str">
            <v>Enter activity Code first</v>
          </cell>
        </row>
        <row r="5343">
          <cell r="A5343" t="str">
            <v>Multi-Year Budget Sub Activities</v>
          </cell>
        </row>
        <row r="5352">
          <cell r="A5352" t="str">
            <v xml:space="preserve"> Sub total Year One</v>
          </cell>
        </row>
        <row r="5359">
          <cell r="A5359" t="str">
            <v>Not Specified</v>
          </cell>
        </row>
        <row r="5361">
          <cell r="A5361" t="str">
            <v>Multi-Year Budget Sub Activities</v>
          </cell>
        </row>
        <row r="5370">
          <cell r="A5370" t="str">
            <v xml:space="preserve"> Sub total Year One</v>
          </cell>
        </row>
        <row r="5378">
          <cell r="A5378" t="str">
            <v>Enter activity Code first</v>
          </cell>
        </row>
        <row r="5380">
          <cell r="A5380" t="str">
            <v>Multi-Year Budget Sub Activities</v>
          </cell>
        </row>
        <row r="5389">
          <cell r="A5389" t="str">
            <v xml:space="preserve"> Sub total Year One</v>
          </cell>
        </row>
        <row r="5396">
          <cell r="A5396" t="str">
            <v>Enter activity Code first</v>
          </cell>
        </row>
        <row r="5398">
          <cell r="A5398" t="str">
            <v>Multi-Year Budget Sub Activities</v>
          </cell>
        </row>
        <row r="5407">
          <cell r="A5407" t="str">
            <v xml:space="preserve"> Sub total Year One</v>
          </cell>
        </row>
        <row r="5414">
          <cell r="A5414" t="str">
            <v>Not Specified</v>
          </cell>
        </row>
        <row r="5416">
          <cell r="A5416" t="str">
            <v>Multi-Year Budget Sub Activities</v>
          </cell>
        </row>
        <row r="5425">
          <cell r="A5425" t="str">
            <v xml:space="preserve"> Sub total Year One</v>
          </cell>
        </row>
        <row r="5432">
          <cell r="A5432" t="str">
            <v>Enter activity Code first</v>
          </cell>
        </row>
        <row r="5434">
          <cell r="A5434" t="str">
            <v>Multi-Year Budget Sub Activities</v>
          </cell>
        </row>
        <row r="5443">
          <cell r="A5443" t="str">
            <v xml:space="preserve"> Sub total Year One</v>
          </cell>
        </row>
        <row r="5450">
          <cell r="A5450" t="str">
            <v>Enter activity Code first</v>
          </cell>
        </row>
        <row r="5452">
          <cell r="A5452" t="str">
            <v>Multi-Year Budget Sub Activities</v>
          </cell>
        </row>
        <row r="5461">
          <cell r="A5461" t="str">
            <v xml:space="preserve"> Sub total Year One</v>
          </cell>
        </row>
        <row r="5469">
          <cell r="A5469" t="str">
            <v>Not Specified</v>
          </cell>
        </row>
        <row r="5471">
          <cell r="A5471" t="str">
            <v>Multi-Year Budget Sub Activities</v>
          </cell>
        </row>
        <row r="5480">
          <cell r="A5480" t="str">
            <v xml:space="preserve"> Sub total Year One</v>
          </cell>
        </row>
        <row r="5487">
          <cell r="A5487" t="str">
            <v>Enter activity Code first</v>
          </cell>
        </row>
        <row r="5489">
          <cell r="A5489" t="str">
            <v>Multi-Year Budget Sub Activities</v>
          </cell>
        </row>
        <row r="5498">
          <cell r="A5498" t="str">
            <v xml:space="preserve"> Sub total Year One</v>
          </cell>
        </row>
        <row r="5505">
          <cell r="A5505" t="str">
            <v>Enter activity Code first</v>
          </cell>
        </row>
        <row r="5507">
          <cell r="A5507" t="str">
            <v>Multi-Year Budget Sub Activities</v>
          </cell>
        </row>
        <row r="5516">
          <cell r="A5516" t="str">
            <v xml:space="preserve"> Sub total Year One</v>
          </cell>
        </row>
        <row r="5523">
          <cell r="A5523" t="str">
            <v>Not Specified</v>
          </cell>
        </row>
        <row r="5525">
          <cell r="A5525" t="str">
            <v>Multi-Year Budget Sub Activities</v>
          </cell>
        </row>
        <row r="5534">
          <cell r="A5534" t="str">
            <v xml:space="preserve"> Sub total Year One</v>
          </cell>
        </row>
        <row r="5541">
          <cell r="A5541" t="str">
            <v>Enter activity Code first</v>
          </cell>
        </row>
        <row r="5543">
          <cell r="A5543" t="str">
            <v>Multi-Year Budget Sub Activities</v>
          </cell>
        </row>
        <row r="5552">
          <cell r="A5552" t="str">
            <v xml:space="preserve"> Sub total Year One</v>
          </cell>
        </row>
        <row r="5560">
          <cell r="A5560" t="str">
            <v>Enter activity Code first</v>
          </cell>
        </row>
        <row r="5562">
          <cell r="A5562" t="str">
            <v>Multi-Year Budget Sub Activities</v>
          </cell>
        </row>
        <row r="5571">
          <cell r="A5571" t="str">
            <v xml:space="preserve"> Sub total Year One</v>
          </cell>
        </row>
        <row r="5578">
          <cell r="A5578" t="str">
            <v>Not Specified</v>
          </cell>
        </row>
        <row r="5580">
          <cell r="A5580" t="str">
            <v>Multi-Year Budget Sub Activities</v>
          </cell>
        </row>
        <row r="5589">
          <cell r="A5589" t="str">
            <v xml:space="preserve"> Sub total Year One</v>
          </cell>
        </row>
        <row r="5596">
          <cell r="A5596" t="str">
            <v>Enter activity Code first</v>
          </cell>
        </row>
        <row r="5598">
          <cell r="A5598" t="str">
            <v>Multi-Year Budget Sub Activities</v>
          </cell>
        </row>
        <row r="5607">
          <cell r="A5607" t="str">
            <v xml:space="preserve"> Sub total Year One</v>
          </cell>
        </row>
        <row r="5614">
          <cell r="A5614" t="str">
            <v>Enter activity Code first</v>
          </cell>
        </row>
        <row r="5616">
          <cell r="A5616" t="str">
            <v>Multi-Year Budget Sub Activities</v>
          </cell>
        </row>
        <row r="5625">
          <cell r="A5625" t="str">
            <v xml:space="preserve"> Sub total Year One</v>
          </cell>
        </row>
        <row r="5632">
          <cell r="A5632" t="str">
            <v>Enter activity Code first</v>
          </cell>
        </row>
        <row r="5634">
          <cell r="A5634" t="str">
            <v>Multi-Year Budget Sub Activities</v>
          </cell>
        </row>
        <row r="5643">
          <cell r="A5643" t="str">
            <v xml:space="preserve"> Sub total Year One</v>
          </cell>
        </row>
        <row r="5651">
          <cell r="A5651" t="str">
            <v>Not Specified</v>
          </cell>
        </row>
        <row r="5653">
          <cell r="A5653" t="str">
            <v>Multi-Year Budget Sub Activities</v>
          </cell>
        </row>
        <row r="5662">
          <cell r="A5662" t="str">
            <v xml:space="preserve"> Sub total Year One</v>
          </cell>
        </row>
        <row r="5669">
          <cell r="A5669" t="str">
            <v>Not Specified</v>
          </cell>
        </row>
        <row r="5671">
          <cell r="A5671" t="str">
            <v>Multi-Year Budget Sub Activities</v>
          </cell>
        </row>
        <row r="5680">
          <cell r="A5680" t="str">
            <v xml:space="preserve"> Sub total Year One</v>
          </cell>
        </row>
        <row r="5687">
          <cell r="A5687" t="str">
            <v>Enter activity Code first</v>
          </cell>
        </row>
        <row r="5689">
          <cell r="A5689" t="str">
            <v>Multi-Year Budget Sub Activities</v>
          </cell>
        </row>
        <row r="5698">
          <cell r="A5698" t="str">
            <v xml:space="preserve"> Sub total Year One</v>
          </cell>
        </row>
        <row r="5705">
          <cell r="A5705" t="str">
            <v>Enter activity Code first</v>
          </cell>
        </row>
        <row r="5707">
          <cell r="A5707" t="str">
            <v>Multi-Year Budget Sub Activities</v>
          </cell>
        </row>
        <row r="5716">
          <cell r="A5716" t="str">
            <v xml:space="preserve"> Sub total Year One</v>
          </cell>
        </row>
        <row r="5723">
          <cell r="A5723" t="str">
            <v>Enter activity Code first</v>
          </cell>
        </row>
        <row r="5725">
          <cell r="A5725" t="str">
            <v>Multi-Year Budget Sub Activities</v>
          </cell>
        </row>
        <row r="5734">
          <cell r="A5734" t="str">
            <v xml:space="preserve"> Sub total Year One</v>
          </cell>
        </row>
        <row r="5742">
          <cell r="A5742" t="str">
            <v>Enter activity Code first</v>
          </cell>
        </row>
        <row r="5744">
          <cell r="A5744" t="str">
            <v>Multi-Year Budget Sub Activities</v>
          </cell>
        </row>
        <row r="5753">
          <cell r="A5753" t="str">
            <v xml:space="preserve"> Sub total Year One</v>
          </cell>
        </row>
        <row r="5760">
          <cell r="A5760" t="str">
            <v>Enter activity Code first</v>
          </cell>
        </row>
        <row r="5762">
          <cell r="A5762" t="str">
            <v>Multi-Year Budget Sub Activities</v>
          </cell>
        </row>
        <row r="5771">
          <cell r="A5771" t="str">
            <v xml:space="preserve"> Sub total Year One</v>
          </cell>
        </row>
        <row r="5778">
          <cell r="A5778" t="str">
            <v>Enter activity Code first</v>
          </cell>
        </row>
        <row r="5780">
          <cell r="A5780" t="str">
            <v>Multi-Year Budget Sub Activities</v>
          </cell>
        </row>
        <row r="5789">
          <cell r="A5789" t="str">
            <v xml:space="preserve"> Sub total Year One</v>
          </cell>
        </row>
        <row r="5796">
          <cell r="A5796" t="str">
            <v>Not Specified</v>
          </cell>
        </row>
        <row r="5798">
          <cell r="A5798" t="str">
            <v>Multi-Year Budget Sub Activities</v>
          </cell>
        </row>
        <row r="5807">
          <cell r="A5807" t="str">
            <v xml:space="preserve"> Sub total Year One</v>
          </cell>
        </row>
        <row r="5814">
          <cell r="A5814" t="str">
            <v>Enter activity Code first</v>
          </cell>
        </row>
        <row r="5816">
          <cell r="A5816" t="str">
            <v>Multi-Year Budget Sub Activities</v>
          </cell>
        </row>
        <row r="5825">
          <cell r="A5825" t="str">
            <v xml:space="preserve"> Sub total Year One</v>
          </cell>
        </row>
        <row r="5833">
          <cell r="A5833" t="str">
            <v>Enter activity Code first</v>
          </cell>
        </row>
        <row r="5835">
          <cell r="A5835" t="str">
            <v>Multi-Year Budget Sub Activities</v>
          </cell>
        </row>
        <row r="5844">
          <cell r="A5844" t="str">
            <v xml:space="preserve"> Sub total Year One</v>
          </cell>
        </row>
        <row r="5851">
          <cell r="A5851" t="str">
            <v>Not Specified</v>
          </cell>
        </row>
        <row r="5853">
          <cell r="A5853" t="str">
            <v>Multi-Year Budget Sub Activities</v>
          </cell>
        </row>
        <row r="5862">
          <cell r="A5862" t="str">
            <v xml:space="preserve"> Sub total Year One</v>
          </cell>
        </row>
        <row r="5869">
          <cell r="A5869" t="str">
            <v>Enter activity Code first</v>
          </cell>
        </row>
        <row r="5871">
          <cell r="A5871" t="str">
            <v>Multi-Year Budget Sub Activities</v>
          </cell>
        </row>
        <row r="5880">
          <cell r="A5880" t="str">
            <v xml:space="preserve"> Sub total Year One</v>
          </cell>
        </row>
        <row r="5887">
          <cell r="A5887" t="str">
            <v>Enter activity Code first</v>
          </cell>
        </row>
        <row r="5889">
          <cell r="A5889" t="str">
            <v>Multi-Year Budget Sub Activities</v>
          </cell>
        </row>
        <row r="5898">
          <cell r="A5898" t="str">
            <v xml:space="preserve"> Sub total Year One</v>
          </cell>
        </row>
        <row r="5905">
          <cell r="A5905" t="str">
            <v>Enter activity Code first</v>
          </cell>
        </row>
        <row r="5907">
          <cell r="A5907" t="str">
            <v>Multi-Year Budget Sub Activities</v>
          </cell>
        </row>
        <row r="5916">
          <cell r="A5916" t="str">
            <v xml:space="preserve"> Sub total Year One</v>
          </cell>
        </row>
        <row r="5924">
          <cell r="A5924" t="str">
            <v>Enter activity Code first</v>
          </cell>
        </row>
        <row r="5926">
          <cell r="A5926" t="str">
            <v>Multi-Year Budget Sub Activities</v>
          </cell>
        </row>
        <row r="5935">
          <cell r="A5935" t="str">
            <v xml:space="preserve"> Sub total Year One</v>
          </cell>
        </row>
        <row r="5942">
          <cell r="A5942" t="str">
            <v>Enter activity Code first</v>
          </cell>
        </row>
        <row r="5944">
          <cell r="A5944" t="str">
            <v>Multi-Year Budget Sub Activities</v>
          </cell>
        </row>
        <row r="5953">
          <cell r="A5953" t="str">
            <v xml:space="preserve"> Sub total Year One</v>
          </cell>
        </row>
        <row r="5960">
          <cell r="A5960" t="str">
            <v>Enter activity Code first</v>
          </cell>
        </row>
        <row r="5962">
          <cell r="A5962" t="str">
            <v>Multi-Year Budget Sub Activities</v>
          </cell>
        </row>
        <row r="5971">
          <cell r="A5971" t="str">
            <v xml:space="preserve"> Sub total Year One</v>
          </cell>
        </row>
        <row r="5978">
          <cell r="A5978" t="str">
            <v>Enter activity Code first</v>
          </cell>
        </row>
        <row r="5980">
          <cell r="A5980" t="str">
            <v>Multi-Year Budget Sub Activities</v>
          </cell>
        </row>
        <row r="5989">
          <cell r="A5989" t="str">
            <v xml:space="preserve"> Sub total Year One</v>
          </cell>
        </row>
        <row r="5996">
          <cell r="A5996" t="str">
            <v>Enter activity Code first</v>
          </cell>
        </row>
        <row r="5998">
          <cell r="A5998" t="str">
            <v>Multi-Year Budget Sub Activities</v>
          </cell>
        </row>
        <row r="6007">
          <cell r="A6007" t="str">
            <v xml:space="preserve"> Sub total Year One</v>
          </cell>
        </row>
        <row r="6015">
          <cell r="A6015" t="str">
            <v>Enter activity Code first</v>
          </cell>
        </row>
        <row r="6017">
          <cell r="A6017" t="str">
            <v>Multi-Year Budget Sub Activities</v>
          </cell>
        </row>
        <row r="6026">
          <cell r="A6026" t="str">
            <v xml:space="preserve"> Sub total Year One</v>
          </cell>
        </row>
        <row r="6033">
          <cell r="A6033" t="str">
            <v>Enter activity Code first</v>
          </cell>
        </row>
        <row r="6035">
          <cell r="A6035" t="str">
            <v>Multi-Year Budget Sub Activities</v>
          </cell>
        </row>
        <row r="6044">
          <cell r="A6044" t="str">
            <v xml:space="preserve"> Sub total Year One</v>
          </cell>
        </row>
        <row r="6051">
          <cell r="A6051" t="str">
            <v>Enter activity Code first</v>
          </cell>
        </row>
        <row r="6053">
          <cell r="A6053" t="str">
            <v>Multi-Year Budget Sub Activities</v>
          </cell>
        </row>
        <row r="6062">
          <cell r="A6062" t="str">
            <v xml:space="preserve"> Sub total Year One</v>
          </cell>
        </row>
        <row r="6069">
          <cell r="A6069" t="str">
            <v>Enter activity Code first</v>
          </cell>
        </row>
        <row r="6071">
          <cell r="A6071" t="str">
            <v>Multi-Year Budget Sub Activities</v>
          </cell>
        </row>
        <row r="6080">
          <cell r="A6080" t="str">
            <v xml:space="preserve"> Sub total Year One</v>
          </cell>
        </row>
        <row r="6087">
          <cell r="A6087" t="str">
            <v>Enter activity Code first</v>
          </cell>
        </row>
        <row r="6089">
          <cell r="A6089" t="str">
            <v>Multi-Year Budget Sub Activities</v>
          </cell>
        </row>
        <row r="6098">
          <cell r="A6098" t="str">
            <v xml:space="preserve"> Sub total Year One</v>
          </cell>
        </row>
        <row r="6106">
          <cell r="A6106" t="str">
            <v>Enter activity Code first</v>
          </cell>
        </row>
        <row r="6108">
          <cell r="A6108" t="str">
            <v>Multi-Year Budget Sub Activities</v>
          </cell>
        </row>
        <row r="6117">
          <cell r="A6117" t="str">
            <v xml:space="preserve"> Sub total Year One</v>
          </cell>
        </row>
        <row r="6124">
          <cell r="A6124" t="str">
            <v>Enter activity Code first</v>
          </cell>
        </row>
        <row r="6126">
          <cell r="A6126" t="str">
            <v>Multi-Year Budget Sub Activities</v>
          </cell>
        </row>
        <row r="6135">
          <cell r="A6135" t="str">
            <v xml:space="preserve"> Sub total Year One</v>
          </cell>
        </row>
        <row r="6142">
          <cell r="A6142" t="str">
            <v>Enter activity Code first</v>
          </cell>
        </row>
        <row r="6144">
          <cell r="A6144" t="str">
            <v>Multi-Year Budget Sub Activities</v>
          </cell>
        </row>
        <row r="6153">
          <cell r="A6153" t="str">
            <v xml:space="preserve"> Sub total Year One</v>
          </cell>
        </row>
        <row r="6160">
          <cell r="A6160" t="str">
            <v>Enter activity Code first</v>
          </cell>
        </row>
        <row r="6162">
          <cell r="A6162" t="str">
            <v>Multi-Year Budget Sub Activities</v>
          </cell>
        </row>
        <row r="6171">
          <cell r="A6171" t="str">
            <v xml:space="preserve"> Sub total Year One</v>
          </cell>
        </row>
        <row r="6178">
          <cell r="A6178" t="str">
            <v>Enter activity Code first</v>
          </cell>
        </row>
        <row r="6180">
          <cell r="A6180" t="str">
            <v>Multi-Year Budget Sub Activities</v>
          </cell>
        </row>
        <row r="6189">
          <cell r="A6189" t="str">
            <v xml:space="preserve"> Sub total Year One</v>
          </cell>
        </row>
        <row r="6197">
          <cell r="A6197" t="str">
            <v>Enter activity Code first</v>
          </cell>
        </row>
        <row r="6199">
          <cell r="A6199" t="str">
            <v>Multi-Year Budget Sub Activities</v>
          </cell>
        </row>
        <row r="6208">
          <cell r="A6208" t="str">
            <v xml:space="preserve"> Sub total Year One</v>
          </cell>
        </row>
        <row r="6215">
          <cell r="A6215" t="str">
            <v>Enter activity Code first</v>
          </cell>
        </row>
        <row r="6217">
          <cell r="A6217" t="str">
            <v>Multi-Year Budget Sub Activities</v>
          </cell>
        </row>
        <row r="6226">
          <cell r="A6226" t="str">
            <v xml:space="preserve"> Sub total Year One</v>
          </cell>
        </row>
        <row r="6233">
          <cell r="A6233" t="str">
            <v>Enter activity Code first</v>
          </cell>
        </row>
        <row r="6235">
          <cell r="A6235" t="str">
            <v>Multi-Year Budget Sub Activities</v>
          </cell>
        </row>
        <row r="6244">
          <cell r="A6244" t="str">
            <v xml:space="preserve"> Sub total Year One</v>
          </cell>
        </row>
        <row r="6251">
          <cell r="A6251" t="str">
            <v>Enter activity Code first</v>
          </cell>
        </row>
        <row r="6253">
          <cell r="A6253" t="str">
            <v>Multi-Year Budget Sub Activities</v>
          </cell>
        </row>
        <row r="6262">
          <cell r="A6262" t="str">
            <v xml:space="preserve"> Sub total Year One</v>
          </cell>
        </row>
        <row r="6269">
          <cell r="A6269" t="str">
            <v>Enter activity Code first</v>
          </cell>
        </row>
        <row r="6271">
          <cell r="A6271" t="str">
            <v>Multi-Year Budget Sub Activities</v>
          </cell>
        </row>
        <row r="6280">
          <cell r="A6280" t="str">
            <v xml:space="preserve"> Sub total Year One</v>
          </cell>
        </row>
        <row r="6289">
          <cell r="A6289" t="str">
            <v>Enter activity Code first</v>
          </cell>
        </row>
        <row r="6291">
          <cell r="A6291" t="str">
            <v>Multi-Year Budget Sub Activities</v>
          </cell>
        </row>
        <row r="6300">
          <cell r="A6300" t="str">
            <v xml:space="preserve"> Sub total Year One</v>
          </cell>
        </row>
        <row r="6307">
          <cell r="A6307" t="str">
            <v>Enter activity Code first</v>
          </cell>
        </row>
        <row r="6309">
          <cell r="A6309" t="str">
            <v>Multi-Year Budget Sub Activities</v>
          </cell>
        </row>
        <row r="6318">
          <cell r="A6318" t="str">
            <v xml:space="preserve"> Sub total Year One</v>
          </cell>
        </row>
        <row r="6325">
          <cell r="A6325" t="str">
            <v>Enter activity Code first</v>
          </cell>
        </row>
        <row r="6327">
          <cell r="A6327" t="str">
            <v>Multi-Year Budget Sub Activities</v>
          </cell>
        </row>
        <row r="6336">
          <cell r="A6336" t="str">
            <v xml:space="preserve"> Sub total Year One</v>
          </cell>
        </row>
        <row r="6343">
          <cell r="A6343" t="str">
            <v>Enter activity Code first</v>
          </cell>
        </row>
        <row r="6345">
          <cell r="A6345" t="str">
            <v>Multi-Year Budget Sub Activities</v>
          </cell>
        </row>
        <row r="6354">
          <cell r="A6354" t="str">
            <v xml:space="preserve"> Sub total Year One</v>
          </cell>
        </row>
        <row r="6361">
          <cell r="A6361" t="str">
            <v>Enter activity Code first</v>
          </cell>
        </row>
        <row r="6363">
          <cell r="A6363" t="str">
            <v>Multi-Year Budget Sub Activities</v>
          </cell>
        </row>
        <row r="6372">
          <cell r="A6372" t="str">
            <v xml:space="preserve"> Sub total Year One</v>
          </cell>
        </row>
        <row r="6380">
          <cell r="A6380" t="str">
            <v>Enter activity Code first</v>
          </cell>
        </row>
        <row r="6382">
          <cell r="A6382" t="str">
            <v>Multi-Year Budget Sub Activities</v>
          </cell>
        </row>
        <row r="6391">
          <cell r="A6391" t="str">
            <v xml:space="preserve"> Sub total Year One</v>
          </cell>
        </row>
        <row r="6398">
          <cell r="A6398" t="str">
            <v>Enter activity Code first</v>
          </cell>
        </row>
        <row r="6400">
          <cell r="A6400" t="str">
            <v>Multi-Year Budget Sub Activities</v>
          </cell>
        </row>
        <row r="6409">
          <cell r="A6409" t="str">
            <v xml:space="preserve"> Sub total Year One</v>
          </cell>
        </row>
        <row r="6416">
          <cell r="A6416" t="str">
            <v>Enter activity Code first</v>
          </cell>
        </row>
        <row r="6418">
          <cell r="A6418" t="str">
            <v>Multi-Year Budget Sub Activities</v>
          </cell>
        </row>
        <row r="6427">
          <cell r="A6427" t="str">
            <v xml:space="preserve"> Sub total Year One</v>
          </cell>
        </row>
        <row r="6434">
          <cell r="A6434" t="str">
            <v>Enter activity Code first</v>
          </cell>
        </row>
        <row r="6436">
          <cell r="A6436" t="str">
            <v>Multi-Year Budget Sub Activities</v>
          </cell>
        </row>
        <row r="6445">
          <cell r="A6445" t="str">
            <v xml:space="preserve"> Sub total Year One</v>
          </cell>
        </row>
        <row r="6452">
          <cell r="A6452" t="str">
            <v>Enter activity Code first</v>
          </cell>
        </row>
        <row r="6454">
          <cell r="A6454" t="str">
            <v>Multi-Year Budget Sub Activities</v>
          </cell>
        </row>
        <row r="6463">
          <cell r="A6463" t="str">
            <v xml:space="preserve"> Sub total Year One</v>
          </cell>
        </row>
        <row r="6471">
          <cell r="A6471" t="str">
            <v>Enter activity Code first</v>
          </cell>
        </row>
        <row r="6473">
          <cell r="A6473" t="str">
            <v>Multi-Year Budget Sub Activities</v>
          </cell>
        </row>
        <row r="6482">
          <cell r="A6482" t="str">
            <v xml:space="preserve"> Sub total Year One</v>
          </cell>
        </row>
        <row r="6489">
          <cell r="A6489" t="str">
            <v>Enter activity Code first</v>
          </cell>
        </row>
        <row r="6491">
          <cell r="A6491" t="str">
            <v>Multi-Year Budget Sub Activities</v>
          </cell>
        </row>
        <row r="6500">
          <cell r="A6500" t="str">
            <v xml:space="preserve"> Sub total Year One</v>
          </cell>
        </row>
        <row r="6507">
          <cell r="A6507" t="str">
            <v>Enter activity Code first</v>
          </cell>
        </row>
        <row r="6509">
          <cell r="A6509" t="str">
            <v>Multi-Year Budget Sub Activities</v>
          </cell>
        </row>
        <row r="6518">
          <cell r="A6518" t="str">
            <v xml:space="preserve"> Sub total Year One</v>
          </cell>
        </row>
        <row r="6525">
          <cell r="A6525" t="str">
            <v>Enter activity Code first</v>
          </cell>
        </row>
        <row r="6527">
          <cell r="A6527" t="str">
            <v>Multi-Year Budget Sub Activities</v>
          </cell>
        </row>
        <row r="6536">
          <cell r="A6536" t="str">
            <v xml:space="preserve"> Sub total Year One</v>
          </cell>
        </row>
        <row r="6543">
          <cell r="A6543" t="str">
            <v>Enter activity Code first</v>
          </cell>
        </row>
        <row r="6545">
          <cell r="A6545" t="str">
            <v>Multi-Year Budget Sub Activities</v>
          </cell>
        </row>
        <row r="6554">
          <cell r="A6554" t="str">
            <v xml:space="preserve"> Sub total Year One</v>
          </cell>
        </row>
        <row r="6562">
          <cell r="A6562" t="str">
            <v>Enter activity Code first</v>
          </cell>
        </row>
        <row r="6564">
          <cell r="A6564" t="str">
            <v>Multi-Year Budget Sub Activities</v>
          </cell>
        </row>
        <row r="6573">
          <cell r="A6573" t="str">
            <v xml:space="preserve"> Sub total Year One</v>
          </cell>
        </row>
        <row r="6580">
          <cell r="A6580" t="str">
            <v>Enter activity Code first</v>
          </cell>
        </row>
        <row r="6582">
          <cell r="A6582" t="str">
            <v>Multi-Year Budget Sub Activities</v>
          </cell>
        </row>
        <row r="6591">
          <cell r="A6591" t="str">
            <v xml:space="preserve"> Sub total Year One</v>
          </cell>
        </row>
        <row r="6598">
          <cell r="A6598" t="str">
            <v>Enter activity Code first</v>
          </cell>
        </row>
        <row r="6600">
          <cell r="A6600" t="str">
            <v>Multi-Year Budget Sub Activities</v>
          </cell>
        </row>
        <row r="6609">
          <cell r="A6609" t="str">
            <v xml:space="preserve"> Sub total Year One</v>
          </cell>
        </row>
        <row r="6616">
          <cell r="A6616" t="str">
            <v>Enter activity Code first</v>
          </cell>
        </row>
        <row r="6618">
          <cell r="A6618" t="str">
            <v>Multi-Year Budget Sub Activities</v>
          </cell>
        </row>
        <row r="6627">
          <cell r="A6627" t="str">
            <v xml:space="preserve"> Sub total Year One</v>
          </cell>
        </row>
        <row r="6634">
          <cell r="A6634" t="str">
            <v>Enter activity Code first</v>
          </cell>
        </row>
        <row r="6636">
          <cell r="A6636" t="str">
            <v>Multi-Year Budget Sub Activities</v>
          </cell>
        </row>
        <row r="6645">
          <cell r="A6645" t="str">
            <v xml:space="preserve"> Sub total Year One</v>
          </cell>
        </row>
        <row r="6653">
          <cell r="A6653" t="str">
            <v>Enter activity Code first</v>
          </cell>
        </row>
        <row r="6655">
          <cell r="A6655" t="str">
            <v>Multi-Year Budget Sub Activities</v>
          </cell>
        </row>
        <row r="6664">
          <cell r="A6664" t="str">
            <v xml:space="preserve"> Sub total Year One</v>
          </cell>
        </row>
        <row r="6671">
          <cell r="A6671" t="str">
            <v>Enter activity Code first</v>
          </cell>
        </row>
        <row r="6673">
          <cell r="A6673" t="str">
            <v>Multi-Year Budget Sub Activities</v>
          </cell>
        </row>
        <row r="6682">
          <cell r="A6682" t="str">
            <v xml:space="preserve"> Sub total Year One</v>
          </cell>
        </row>
        <row r="6689">
          <cell r="A6689" t="str">
            <v>Enter activity Code first</v>
          </cell>
        </row>
        <row r="6691">
          <cell r="A6691" t="str">
            <v>Multi-Year Budget Sub Activities</v>
          </cell>
        </row>
        <row r="6700">
          <cell r="A6700" t="str">
            <v xml:space="preserve"> Sub total Year One</v>
          </cell>
        </row>
        <row r="6707">
          <cell r="A6707" t="str">
            <v>Enter activity Code first</v>
          </cell>
        </row>
        <row r="6709">
          <cell r="A6709" t="str">
            <v>Multi-Year Budget Sub Activities</v>
          </cell>
        </row>
        <row r="6718">
          <cell r="A6718" t="str">
            <v xml:space="preserve"> Sub total Year One</v>
          </cell>
        </row>
        <row r="6725">
          <cell r="A6725" t="str">
            <v>Enter activity Code first</v>
          </cell>
        </row>
        <row r="6727">
          <cell r="A6727" t="str">
            <v>Multi-Year Budget Sub Activities</v>
          </cell>
        </row>
        <row r="6736">
          <cell r="A6736" t="str">
            <v xml:space="preserve"> Sub total Year One</v>
          </cell>
        </row>
        <row r="6744">
          <cell r="A6744" t="str">
            <v>Enter activity Code first</v>
          </cell>
        </row>
        <row r="6746">
          <cell r="A6746" t="str">
            <v>Multi-Year Budget Sub Activities</v>
          </cell>
        </row>
        <row r="6755">
          <cell r="A6755" t="str">
            <v xml:space="preserve"> Sub total Year One</v>
          </cell>
        </row>
        <row r="6762">
          <cell r="A6762" t="str">
            <v>Enter activity Code first</v>
          </cell>
        </row>
        <row r="6764">
          <cell r="A6764" t="str">
            <v>Multi-Year Budget Sub Activities</v>
          </cell>
        </row>
        <row r="6773">
          <cell r="A6773" t="str">
            <v xml:space="preserve"> Sub total Year One</v>
          </cell>
        </row>
        <row r="6780">
          <cell r="A6780" t="str">
            <v>Enter activity Code first</v>
          </cell>
        </row>
        <row r="6782">
          <cell r="A6782" t="str">
            <v>Multi-Year Budget Sub Activities</v>
          </cell>
        </row>
        <row r="6791">
          <cell r="A6791" t="str">
            <v xml:space="preserve"> Sub total Year One</v>
          </cell>
        </row>
        <row r="6798">
          <cell r="A6798" t="str">
            <v>Enter activity Code first</v>
          </cell>
        </row>
        <row r="6800">
          <cell r="A6800" t="str">
            <v>Multi-Year Budget Sub Activities</v>
          </cell>
        </row>
        <row r="6809">
          <cell r="A6809" t="str">
            <v xml:space="preserve"> Sub total Year One</v>
          </cell>
        </row>
        <row r="6816">
          <cell r="A6816" t="str">
            <v>Enter activity Code first</v>
          </cell>
        </row>
        <row r="6818">
          <cell r="A6818" t="str">
            <v>Multi-Year Budget Sub Activities</v>
          </cell>
        </row>
        <row r="6827">
          <cell r="A6827" t="str">
            <v xml:space="preserve"> Sub total Year One</v>
          </cell>
        </row>
        <row r="6835">
          <cell r="A6835" t="str">
            <v>Enter activity Code first</v>
          </cell>
        </row>
        <row r="6837">
          <cell r="A6837" t="str">
            <v>Multi-Year Budget Sub Activities</v>
          </cell>
        </row>
        <row r="6846">
          <cell r="A6846" t="str">
            <v xml:space="preserve"> Sub total Year One</v>
          </cell>
        </row>
        <row r="6853">
          <cell r="A6853" t="str">
            <v>Enter activity Code first</v>
          </cell>
        </row>
        <row r="6855">
          <cell r="A6855" t="str">
            <v>Multi-Year Budget Sub Activities</v>
          </cell>
        </row>
        <row r="6864">
          <cell r="A6864" t="str">
            <v xml:space="preserve"> Sub total Year One</v>
          </cell>
        </row>
        <row r="6871">
          <cell r="A6871" t="str">
            <v>Enter activity Code first</v>
          </cell>
        </row>
        <row r="6873">
          <cell r="A6873" t="str">
            <v>Multi-Year Budget Sub Activities</v>
          </cell>
        </row>
        <row r="6882">
          <cell r="A6882" t="str">
            <v xml:space="preserve"> Sub total Year One</v>
          </cell>
        </row>
        <row r="6889">
          <cell r="A6889" t="str">
            <v>Enter activity Code first</v>
          </cell>
        </row>
        <row r="6891">
          <cell r="A6891" t="str">
            <v>Multi-Year Budget Sub Activities</v>
          </cell>
        </row>
        <row r="6900">
          <cell r="A6900" t="str">
            <v xml:space="preserve"> Sub total Year One</v>
          </cell>
        </row>
        <row r="6907">
          <cell r="A6907" t="str">
            <v>Enter activity Code first</v>
          </cell>
        </row>
        <row r="6909">
          <cell r="A6909" t="str">
            <v>Multi-Year Budget Sub Activities</v>
          </cell>
        </row>
        <row r="6918">
          <cell r="A6918" t="str">
            <v xml:space="preserve"> Sub total Year One</v>
          </cell>
        </row>
        <row r="6926">
          <cell r="A6926" t="str">
            <v>Enter activity Code first</v>
          </cell>
        </row>
        <row r="6928">
          <cell r="A6928" t="str">
            <v>Multi-Year Budget Sub Activities</v>
          </cell>
        </row>
        <row r="6937">
          <cell r="A6937" t="str">
            <v xml:space="preserve"> Sub total Year One</v>
          </cell>
        </row>
        <row r="6944">
          <cell r="A6944" t="str">
            <v>Enter activity Code first</v>
          </cell>
        </row>
        <row r="6946">
          <cell r="A6946" t="str">
            <v>Multi-Year Budget Sub Activities</v>
          </cell>
        </row>
        <row r="6955">
          <cell r="A6955" t="str">
            <v xml:space="preserve"> Sub total Year One</v>
          </cell>
        </row>
        <row r="6962">
          <cell r="A6962" t="str">
            <v>Enter activity Code first</v>
          </cell>
        </row>
        <row r="6964">
          <cell r="A6964" t="str">
            <v>Multi-Year Budget Sub Activities</v>
          </cell>
        </row>
        <row r="6973">
          <cell r="A6973" t="str">
            <v xml:space="preserve"> Sub total Year One</v>
          </cell>
        </row>
        <row r="6980">
          <cell r="A6980" t="str">
            <v>Enter activity Code first</v>
          </cell>
        </row>
        <row r="6982">
          <cell r="A6982" t="str">
            <v>Multi-Year Budget Sub Activities</v>
          </cell>
        </row>
        <row r="6991">
          <cell r="A6991" t="str">
            <v xml:space="preserve"> Sub total Year One</v>
          </cell>
        </row>
        <row r="6998">
          <cell r="A6998" t="str">
            <v>Enter activity Code first</v>
          </cell>
        </row>
        <row r="7000">
          <cell r="A7000" t="str">
            <v>Multi-Year Budget Sub Activities</v>
          </cell>
        </row>
        <row r="7009">
          <cell r="A7009" t="str">
            <v xml:space="preserve"> Sub total Year One</v>
          </cell>
        </row>
        <row r="7017">
          <cell r="A7017" t="str">
            <v>Enter activity Code first</v>
          </cell>
        </row>
        <row r="7019">
          <cell r="A7019" t="str">
            <v>Multi-Year Budget Sub Activities</v>
          </cell>
        </row>
        <row r="7028">
          <cell r="A7028" t="str">
            <v xml:space="preserve"> Sub total Year One</v>
          </cell>
        </row>
        <row r="7035">
          <cell r="A7035" t="str">
            <v>Enter activity Code first</v>
          </cell>
        </row>
        <row r="7037">
          <cell r="A7037" t="str">
            <v>Multi-Year Budget Sub Activities</v>
          </cell>
        </row>
        <row r="7046">
          <cell r="A7046" t="str">
            <v xml:space="preserve"> Sub total Year One</v>
          </cell>
        </row>
        <row r="7053">
          <cell r="A7053" t="str">
            <v>Enter activity Code first</v>
          </cell>
        </row>
        <row r="7055">
          <cell r="A7055" t="str">
            <v>Multi-Year Budget Sub Activities</v>
          </cell>
        </row>
        <row r="7064">
          <cell r="A7064" t="str">
            <v xml:space="preserve"> Sub total Year One</v>
          </cell>
        </row>
        <row r="7071">
          <cell r="A7071" t="str">
            <v>Enter activity Code first</v>
          </cell>
        </row>
        <row r="7073">
          <cell r="A7073" t="str">
            <v>Multi-Year Budget Sub Activities</v>
          </cell>
        </row>
        <row r="7082">
          <cell r="A7082" t="str">
            <v xml:space="preserve"> Sub total Year One</v>
          </cell>
        </row>
        <row r="7089">
          <cell r="A7089" t="str">
            <v>Enter activity Code first</v>
          </cell>
        </row>
        <row r="7091">
          <cell r="A7091" t="str">
            <v>Multi-Year Budget Sub Activities</v>
          </cell>
        </row>
        <row r="7100">
          <cell r="A7100" t="str">
            <v xml:space="preserve"> Sub total Year One</v>
          </cell>
        </row>
        <row r="7108">
          <cell r="A7108" t="str">
            <v>Enter activity Code first</v>
          </cell>
        </row>
        <row r="7110">
          <cell r="A7110" t="str">
            <v>Multi-Year Budget Sub Activities</v>
          </cell>
        </row>
        <row r="7119">
          <cell r="A7119" t="str">
            <v xml:space="preserve"> Sub total Year One</v>
          </cell>
        </row>
        <row r="7126">
          <cell r="A7126" t="str">
            <v>Enter activity Code first</v>
          </cell>
        </row>
        <row r="7128">
          <cell r="A7128" t="str">
            <v>Multi-Year Budget Sub Activities</v>
          </cell>
        </row>
        <row r="7137">
          <cell r="A7137" t="str">
            <v xml:space="preserve"> Sub total Year One</v>
          </cell>
        </row>
        <row r="7144">
          <cell r="A7144" t="str">
            <v>Enter activity Code first</v>
          </cell>
        </row>
        <row r="7146">
          <cell r="A7146" t="str">
            <v>Multi-Year Budget Sub Activities</v>
          </cell>
        </row>
        <row r="7155">
          <cell r="A7155" t="str">
            <v xml:space="preserve"> Sub total Year One</v>
          </cell>
        </row>
        <row r="7162">
          <cell r="A7162" t="str">
            <v>Enter activity Code first</v>
          </cell>
        </row>
        <row r="7164">
          <cell r="A7164" t="str">
            <v>Multi-Year Budget Sub Activities</v>
          </cell>
        </row>
        <row r="7173">
          <cell r="A7173" t="str">
            <v xml:space="preserve"> Sub total Year One</v>
          </cell>
        </row>
        <row r="7180">
          <cell r="A7180" t="str">
            <v>Enter activity Code first</v>
          </cell>
        </row>
        <row r="7182">
          <cell r="A7182" t="str">
            <v>Multi-Year Budget Sub Activities</v>
          </cell>
        </row>
        <row r="7191">
          <cell r="A7191" t="str">
            <v xml:space="preserve"> Sub total Year One</v>
          </cell>
        </row>
        <row r="7199">
          <cell r="A7199" t="str">
            <v>Enter activity Code first</v>
          </cell>
        </row>
        <row r="7201">
          <cell r="A7201" t="str">
            <v>Multi-Year Budget Sub Activities</v>
          </cell>
        </row>
        <row r="7210">
          <cell r="A7210" t="str">
            <v xml:space="preserve"> Sub total Year One</v>
          </cell>
        </row>
        <row r="7217">
          <cell r="A7217" t="str">
            <v>Enter activity Code first</v>
          </cell>
        </row>
        <row r="7219">
          <cell r="A7219" t="str">
            <v>Multi-Year Budget Sub Activities</v>
          </cell>
        </row>
        <row r="7228">
          <cell r="A7228" t="str">
            <v xml:space="preserve"> Sub total Year One</v>
          </cell>
        </row>
        <row r="7235">
          <cell r="A7235" t="str">
            <v>Enter activity Code first</v>
          </cell>
        </row>
        <row r="7237">
          <cell r="A7237" t="str">
            <v>Multi-Year Budget Sub Activities</v>
          </cell>
        </row>
        <row r="7246">
          <cell r="A7246" t="str">
            <v xml:space="preserve"> Sub total Year One</v>
          </cell>
        </row>
        <row r="7253">
          <cell r="A7253" t="str">
            <v>Enter activity Code first</v>
          </cell>
        </row>
        <row r="7255">
          <cell r="A7255" t="str">
            <v>Multi-Year Budget Sub Activities</v>
          </cell>
        </row>
        <row r="7264">
          <cell r="A7264" t="str">
            <v xml:space="preserve"> Sub total Year One</v>
          </cell>
        </row>
        <row r="7271">
          <cell r="A7271" t="str">
            <v>Enter activity Code first</v>
          </cell>
        </row>
        <row r="7273">
          <cell r="A7273" t="str">
            <v>Multi-Year Budget Sub Activities</v>
          </cell>
        </row>
        <row r="7282">
          <cell r="A7282" t="str">
            <v xml:space="preserve"> Sub total Year One</v>
          </cell>
        </row>
        <row r="7290">
          <cell r="A7290" t="str">
            <v>Enter activity Code first</v>
          </cell>
        </row>
        <row r="7292">
          <cell r="A7292" t="str">
            <v>Multi-Year Budget Sub Activities</v>
          </cell>
        </row>
        <row r="7301">
          <cell r="A7301" t="str">
            <v xml:space="preserve"> Sub total Year One</v>
          </cell>
        </row>
        <row r="7308">
          <cell r="A7308" t="str">
            <v>Enter activity Code first</v>
          </cell>
        </row>
        <row r="7310">
          <cell r="A7310" t="str">
            <v>Multi-Year Budget Sub Activities</v>
          </cell>
        </row>
      </sheetData>
      <sheetData sheetId="4"/>
      <sheetData sheetId="5"/>
      <sheetData sheetId="6"/>
      <sheetData sheetId="7">
        <row r="3">
          <cell r="N3" t="str">
            <v>KADUNA STATE</v>
          </cell>
          <cell r="O3">
            <v>18</v>
          </cell>
          <cell r="R3" t="str">
            <v>01101 - FAAC DIRECT ALLOCATION</v>
          </cell>
          <cell r="S3" t="str">
            <v>01101</v>
          </cell>
          <cell r="W3" t="str">
            <v>AGRICULTURE</v>
          </cell>
          <cell r="X3">
            <v>70421</v>
          </cell>
        </row>
        <row r="4">
          <cell r="N4" t="str">
            <v>ACROSS THE STATE</v>
          </cell>
          <cell r="O4">
            <v>31830000</v>
          </cell>
          <cell r="R4" t="str">
            <v>02101 - MAIN ENVELOP - BUDGETARY ALLOCATION</v>
          </cell>
          <cell r="S4" t="str">
            <v>02101</v>
          </cell>
          <cell r="W4" t="str">
            <v>BASIC RESEARCH</v>
          </cell>
          <cell r="X4">
            <v>70140</v>
          </cell>
        </row>
        <row r="5">
          <cell r="N5" t="str">
            <v>BIRNIN GWARI</v>
          </cell>
          <cell r="O5">
            <v>31830100</v>
          </cell>
          <cell r="R5" t="str">
            <v>02201 - PENSION AND GRATUITIES</v>
          </cell>
          <cell r="S5" t="str">
            <v>02201</v>
          </cell>
          <cell r="W5" t="str">
            <v>BROADCASTING AND PUBLISHING SERVICES</v>
          </cell>
          <cell r="X5">
            <v>70830</v>
          </cell>
        </row>
        <row r="6">
          <cell r="N6" t="str">
            <v>CHIKUN</v>
          </cell>
          <cell r="O6">
            <v>31830101</v>
          </cell>
          <cell r="R6" t="str">
            <v>02202 - SERVICE WIDE VOTE</v>
          </cell>
          <cell r="S6" t="str">
            <v>02202</v>
          </cell>
          <cell r="W6" t="str">
            <v>COAL AND OTHER SOLID MINERAL FUEL</v>
          </cell>
          <cell r="X6">
            <v>70431</v>
          </cell>
        </row>
        <row r="7">
          <cell r="N7" t="str">
            <v>GIWA</v>
          </cell>
          <cell r="O7">
            <v>31830102</v>
          </cell>
          <cell r="R7" t="str">
            <v>02203 - CAPITAL SUPPLEMENTATION</v>
          </cell>
          <cell r="S7" t="str">
            <v>02203</v>
          </cell>
          <cell r="W7" t="str">
            <v>COMMUNICATION</v>
          </cell>
          <cell r="X7">
            <v>70460</v>
          </cell>
        </row>
        <row r="8">
          <cell r="N8" t="str">
            <v>IGABI</v>
          </cell>
          <cell r="O8">
            <v>31830103</v>
          </cell>
          <cell r="R8" t="str">
            <v>02204 - OTHER CRF CHARGES</v>
          </cell>
          <cell r="S8" t="str">
            <v>02204</v>
          </cell>
          <cell r="W8" t="str">
            <v>COMMUNITY DEVELOPMENT</v>
          </cell>
          <cell r="X8">
            <v>70620</v>
          </cell>
        </row>
        <row r="9">
          <cell r="N9" t="str">
            <v>IKARA</v>
          </cell>
          <cell r="O9">
            <v>31830104</v>
          </cell>
          <cell r="R9" t="str">
            <v>03101 - CAPITAL DEVELOPMENT FUND</v>
          </cell>
          <cell r="S9" t="str">
            <v>03101</v>
          </cell>
          <cell r="W9" t="str">
            <v>CONSTRUCTION</v>
          </cell>
          <cell r="X9">
            <v>70443</v>
          </cell>
        </row>
        <row r="10">
          <cell r="N10" t="str">
            <v>JABA</v>
          </cell>
          <cell r="O10">
            <v>31830105</v>
          </cell>
          <cell r="R10" t="str">
            <v>04101 - CONTINGENCY FUND</v>
          </cell>
          <cell r="S10" t="str">
            <v>04101</v>
          </cell>
          <cell r="W10" t="str">
            <v>CULTURAL SERVICES</v>
          </cell>
          <cell r="X10">
            <v>70820</v>
          </cell>
        </row>
        <row r="11">
          <cell r="N11" t="str">
            <v>JEMA'A</v>
          </cell>
          <cell r="O11">
            <v>31830106</v>
          </cell>
          <cell r="R11" t="str">
            <v>05101 - DEBT RELIEF GAINS</v>
          </cell>
          <cell r="S11" t="str">
            <v>05101</v>
          </cell>
          <cell r="W11" t="str">
            <v>DENTAL SERVICES</v>
          </cell>
          <cell r="X11">
            <v>70723</v>
          </cell>
        </row>
        <row r="12">
          <cell r="N12" t="str">
            <v>KACHIA</v>
          </cell>
          <cell r="O12">
            <v>31830107</v>
          </cell>
          <cell r="R12" t="str">
            <v>06103 - PETROLEUM EQUALISATION FUND</v>
          </cell>
          <cell r="S12" t="str">
            <v>06103</v>
          </cell>
          <cell r="W12" t="str">
            <v>DISABILITY</v>
          </cell>
          <cell r="X12">
            <v>71012</v>
          </cell>
        </row>
        <row r="13">
          <cell r="N13" t="str">
            <v>KADUNA NORTH</v>
          </cell>
          <cell r="O13">
            <v>31830108</v>
          </cell>
          <cell r="R13" t="str">
            <v>07102 - FERTILIZER REVOLVING FUND</v>
          </cell>
          <cell r="S13" t="str">
            <v>07102</v>
          </cell>
          <cell r="W13" t="str">
            <v>DISTRIBUTIVE TRADE, STORAGE AND WAREHOUSING</v>
          </cell>
          <cell r="X13">
            <v>70471</v>
          </cell>
        </row>
        <row r="14">
          <cell r="N14" t="str">
            <v>KADUNA SOUTH</v>
          </cell>
          <cell r="O14">
            <v>31830109</v>
          </cell>
          <cell r="R14" t="str">
            <v>07106 - NIGERIAN EX-SERVICEMEN REWARD FUND</v>
          </cell>
          <cell r="S14" t="str">
            <v>07106</v>
          </cell>
          <cell r="W14" t="str">
            <v>ECONOMIC AFFAIRS N.E.C.</v>
          </cell>
          <cell r="X14">
            <v>70490</v>
          </cell>
        </row>
        <row r="15">
          <cell r="N15" t="str">
            <v>KAGARKO</v>
          </cell>
          <cell r="O15">
            <v>31830110</v>
          </cell>
          <cell r="R15" t="str">
            <v>07107 - COCOA RESEARCH INSTITUTE OF NIGERIA FUND</v>
          </cell>
          <cell r="S15" t="str">
            <v>07107</v>
          </cell>
          <cell r="W15" t="str">
            <v>ECONOMIC AID ROUTED THROUGH INTERNATIONAL ORGANIZATIONS</v>
          </cell>
          <cell r="X15">
            <v>70122</v>
          </cell>
        </row>
        <row r="16">
          <cell r="N16" t="str">
            <v>KAJURU</v>
          </cell>
          <cell r="O16">
            <v>31830111</v>
          </cell>
          <cell r="R16" t="str">
            <v>07108 - FERTILIZER REVOLVING FUND</v>
          </cell>
          <cell r="S16" t="str">
            <v>07108</v>
          </cell>
          <cell r="W16" t="str">
            <v>ECONOMIC AID TO DEVELOPING COUNTRIES AND COUNTRIES IN TRANSITION</v>
          </cell>
          <cell r="X16">
            <v>70121</v>
          </cell>
        </row>
        <row r="17">
          <cell r="N17" t="str">
            <v>KAURA</v>
          </cell>
          <cell r="O17">
            <v>31830112</v>
          </cell>
          <cell r="R17" t="str">
            <v>07109 - SINKING FUND FOR JUDGEMENT DEBT FUND</v>
          </cell>
          <cell r="S17" t="str">
            <v>07109</v>
          </cell>
          <cell r="W17" t="str">
            <v>EDUCATION N.E.C</v>
          </cell>
          <cell r="X17">
            <v>70980</v>
          </cell>
        </row>
        <row r="18">
          <cell r="N18" t="str">
            <v>KAURU</v>
          </cell>
          <cell r="O18">
            <v>31830113</v>
          </cell>
          <cell r="R18" t="str">
            <v>08101 - AFRICAN DEVELOPMENT BANK</v>
          </cell>
          <cell r="S18" t="str">
            <v>08101</v>
          </cell>
          <cell r="W18" t="str">
            <v>EDUCATION NOT DEFINABLE BY LEVEL</v>
          </cell>
          <cell r="X18">
            <v>70950</v>
          </cell>
        </row>
        <row r="19">
          <cell r="N19" t="str">
            <v>KUBAU</v>
          </cell>
          <cell r="O19">
            <v>31830114</v>
          </cell>
          <cell r="R19" t="str">
            <v>08102 - AFRICAN DEVELOPMENT FUND</v>
          </cell>
          <cell r="S19" t="str">
            <v>08102</v>
          </cell>
          <cell r="W19" t="str">
            <v>ELECTRICITY</v>
          </cell>
          <cell r="X19">
            <v>70435</v>
          </cell>
        </row>
        <row r="20">
          <cell r="N20" t="str">
            <v>KUDAN</v>
          </cell>
          <cell r="O20">
            <v>31830115</v>
          </cell>
          <cell r="R20" t="str">
            <v>08103 - ARAB BANK FOR ECONOMIC DEVELOPMENT(BADEA)</v>
          </cell>
          <cell r="S20" t="str">
            <v>08103</v>
          </cell>
          <cell r="W20" t="str">
            <v>ENVIRONMENTAL PROTECTION N.E.C.</v>
          </cell>
          <cell r="X20">
            <v>70560</v>
          </cell>
        </row>
        <row r="21">
          <cell r="N21" t="str">
            <v>LERE</v>
          </cell>
          <cell r="O21">
            <v>31830116</v>
          </cell>
          <cell r="R21" t="str">
            <v>08104 - ARAB LOAN FUND FOR AFRICAN ARAB LEAGUE</v>
          </cell>
          <cell r="S21" t="str">
            <v>08104</v>
          </cell>
          <cell r="W21" t="str">
            <v>EXECUTIVE AND LEGISLATIVE ORGANS</v>
          </cell>
          <cell r="X21">
            <v>70111</v>
          </cell>
        </row>
        <row r="22">
          <cell r="N22" t="str">
            <v>MAKARFI</v>
          </cell>
          <cell r="O22">
            <v>31830117</v>
          </cell>
          <cell r="R22" t="str">
            <v>08105 - ECOWAS FUND</v>
          </cell>
          <cell r="S22" t="str">
            <v>08105</v>
          </cell>
          <cell r="W22" t="str">
            <v>FAMILY AND CHILDREN</v>
          </cell>
          <cell r="X22">
            <v>71040</v>
          </cell>
        </row>
        <row r="23">
          <cell r="N23" t="str">
            <v>SABON GARI</v>
          </cell>
          <cell r="O23">
            <v>31830118</v>
          </cell>
          <cell r="R23" t="str">
            <v>08106 - EUROPEAN DEVELOPMENT FUND</v>
          </cell>
          <cell r="S23" t="str">
            <v>08106</v>
          </cell>
          <cell r="W23" t="str">
            <v>FINANCIAL AND FISCAL AFFAIRS</v>
          </cell>
          <cell r="X23">
            <v>70112</v>
          </cell>
        </row>
        <row r="24">
          <cell r="N24" t="str">
            <v>SANGA</v>
          </cell>
          <cell r="O24">
            <v>31830119</v>
          </cell>
          <cell r="R24" t="str">
            <v>08107 - EUROPEAN UNION</v>
          </cell>
          <cell r="S24" t="str">
            <v>08107</v>
          </cell>
          <cell r="W24" t="str">
            <v>FIRE PROTECTION SERVICES</v>
          </cell>
          <cell r="X24">
            <v>70320</v>
          </cell>
        </row>
        <row r="25">
          <cell r="N25" t="str">
            <v>SOBA</v>
          </cell>
          <cell r="O25">
            <v>31830120</v>
          </cell>
          <cell r="R25" t="str">
            <v>08108 - EUROPEAN INVESTMENT BANK</v>
          </cell>
          <cell r="S25" t="str">
            <v>08108</v>
          </cell>
          <cell r="W25" t="str">
            <v>FIRST STAGE OF TERTIARY EDUCATION</v>
          </cell>
          <cell r="X25">
            <v>70941</v>
          </cell>
        </row>
        <row r="26">
          <cell r="N26" t="str">
            <v>ZANGON KATAF</v>
          </cell>
          <cell r="O26">
            <v>31830121</v>
          </cell>
          <cell r="R26" t="str">
            <v>08109 - IDA - AFRICAN FACILITY</v>
          </cell>
          <cell r="S26" t="str">
            <v>08109</v>
          </cell>
          <cell r="W26" t="str">
            <v>FISHING AND HUNTING</v>
          </cell>
          <cell r="X26">
            <v>70423</v>
          </cell>
        </row>
        <row r="27">
          <cell r="N27" t="str">
            <v>ZARIA</v>
          </cell>
          <cell r="O27">
            <v>31830122</v>
          </cell>
          <cell r="R27" t="str">
            <v>08110 - INT. BANK FOR RECONSTRUCTION &amp; DEVELOPMENT (IBRD)</v>
          </cell>
          <cell r="S27" t="str">
            <v>08110</v>
          </cell>
          <cell r="W27" t="str">
            <v>FORESTRY</v>
          </cell>
          <cell r="X27">
            <v>70422</v>
          </cell>
        </row>
        <row r="28">
          <cell r="R28" t="str">
            <v>08111 - INTERNATIONAL DEVELOPMENT ASSOCIATION (IDA)</v>
          </cell>
          <cell r="S28" t="str">
            <v>08111</v>
          </cell>
          <cell r="W28" t="str">
            <v>FUEL AND ENERGY</v>
          </cell>
          <cell r="X28">
            <v>70483</v>
          </cell>
        </row>
        <row r="29">
          <cell r="R29" t="str">
            <v>08112 - INTERNATIONAL FINANCE CORPORATION</v>
          </cell>
          <cell r="S29" t="str">
            <v>08112</v>
          </cell>
          <cell r="W29" t="str">
            <v xml:space="preserve">GENERAL ECONOMIC AND COMMERCIALAFFAIRS </v>
          </cell>
          <cell r="X29">
            <v>70411</v>
          </cell>
        </row>
        <row r="30">
          <cell r="R30" t="str">
            <v>08113 - INTERNATIONAL FUND FOR AGRICULTURAL DEVELOPMENT</v>
          </cell>
          <cell r="S30" t="str">
            <v>08113</v>
          </cell>
          <cell r="W30" t="str">
            <v>GENERAL HOSPITAL SERVICES</v>
          </cell>
          <cell r="X30">
            <v>70731</v>
          </cell>
        </row>
        <row r="31">
          <cell r="R31" t="str">
            <v>08114 - INTERNATIONAL MONETARY FUND</v>
          </cell>
          <cell r="S31" t="str">
            <v>08114</v>
          </cell>
          <cell r="W31" t="str">
            <v>GENERAL LABOUR AFFAIRS</v>
          </cell>
          <cell r="X31">
            <v>70412</v>
          </cell>
        </row>
        <row r="32">
          <cell r="R32" t="str">
            <v>08115 - NIGERIA TRUST FUND</v>
          </cell>
          <cell r="S32" t="str">
            <v>08115</v>
          </cell>
          <cell r="W32" t="str">
            <v>GENERAL MEDICAL SERVICES</v>
          </cell>
          <cell r="X32">
            <v>70721</v>
          </cell>
        </row>
        <row r="33">
          <cell r="R33" t="str">
            <v>08116 - NORDIC DEVELOPMENT FUND</v>
          </cell>
          <cell r="S33" t="str">
            <v>08116</v>
          </cell>
          <cell r="W33" t="str">
            <v>GENERAL PERSONNEL SERVICES</v>
          </cell>
          <cell r="X33">
            <v>70131</v>
          </cell>
        </row>
        <row r="34">
          <cell r="R34" t="str">
            <v>08117 - ORGANISATION OF PETROLEUM EXPORTING COUNTRIES</v>
          </cell>
          <cell r="S34" t="str">
            <v>08117</v>
          </cell>
          <cell r="W34" t="str">
            <v>GENERAL PUBLIC SERVICES N.E.C.</v>
          </cell>
          <cell r="X34">
            <v>70160</v>
          </cell>
        </row>
        <row r="35">
          <cell r="R35" t="str">
            <v>08118 - UNITED NATIONS DEVELOPMENT PROGRAMME (UNDP)</v>
          </cell>
          <cell r="S35" t="str">
            <v>08118</v>
          </cell>
          <cell r="W35" t="str">
            <v>HEALTH N.E.C.</v>
          </cell>
          <cell r="X35">
            <v>70760</v>
          </cell>
        </row>
        <row r="36">
          <cell r="R36" t="str">
            <v>08119 - UNITED NATIONS CHILDREN'S FUND (UNICEF)</v>
          </cell>
          <cell r="S36" t="str">
            <v>08119</v>
          </cell>
          <cell r="W36" t="str">
            <v>HOTELS AND RESTUARANTS</v>
          </cell>
          <cell r="X36">
            <v>70472</v>
          </cell>
        </row>
        <row r="37">
          <cell r="R37" t="str">
            <v>08120 - UNITED NATIONS FUND  FOR POPUPLATION ACTIVITIES</v>
          </cell>
          <cell r="S37" t="str">
            <v>08120</v>
          </cell>
          <cell r="W37" t="str">
            <v>HOUSING</v>
          </cell>
          <cell r="X37">
            <v>71060</v>
          </cell>
        </row>
        <row r="38">
          <cell r="R38" t="str">
            <v>08121 - WORLD BANK TRUST FUND</v>
          </cell>
          <cell r="S38" t="str">
            <v>08121</v>
          </cell>
          <cell r="W38" t="str">
            <v>HOUSING AND COMMUNITY AMENITIES N.E.C.</v>
          </cell>
          <cell r="X38">
            <v>70660</v>
          </cell>
        </row>
        <row r="39">
          <cell r="R39" t="str">
            <v>08122 - WORLD FOOD PROGRAMME</v>
          </cell>
          <cell r="S39" t="str">
            <v>08122</v>
          </cell>
          <cell r="W39" t="str">
            <v>HOUSING DEVELOPMENT</v>
          </cell>
          <cell r="X39">
            <v>70610</v>
          </cell>
        </row>
        <row r="40">
          <cell r="R40" t="str">
            <v>08123 - UNITED NATIONS CAPITAL DEVELOPMENT FUND (UNCDF)</v>
          </cell>
          <cell r="S40" t="str">
            <v>08123</v>
          </cell>
          <cell r="W40" t="str">
            <v>LOWER SECONDARY EDUCATION</v>
          </cell>
          <cell r="X40">
            <v>70921</v>
          </cell>
        </row>
        <row r="41">
          <cell r="R41" t="str">
            <v>08124 - GLOBAL 2000</v>
          </cell>
          <cell r="S41" t="str">
            <v>08124</v>
          </cell>
          <cell r="W41" t="str">
            <v>MANUFACTURING</v>
          </cell>
          <cell r="X41">
            <v>70442</v>
          </cell>
        </row>
        <row r="42">
          <cell r="R42" t="str">
            <v>08125 - UNITED NATIONS INDUSTRIAL DEVELOPMENT ORGANISATION (UNIDO)</v>
          </cell>
          <cell r="S42" t="str">
            <v>08125</v>
          </cell>
          <cell r="W42" t="str">
            <v>MEDICAL AND MATERNITY CENTRE SERVICES</v>
          </cell>
          <cell r="X42">
            <v>70733</v>
          </cell>
        </row>
        <row r="43">
          <cell r="R43" t="str">
            <v>08126 - MULTI-DONOR BUDGET SUPPORT</v>
          </cell>
          <cell r="S43" t="str">
            <v>08126</v>
          </cell>
          <cell r="W43" t="str">
            <v>MULTIPURPOSE DEVELOPMENT PROJECTS</v>
          </cell>
          <cell r="X43">
            <v>70474</v>
          </cell>
        </row>
        <row r="44">
          <cell r="R44" t="str">
            <v>08201 - SWEDISH INTERNATIONAL DEVELOPMENT AUTHORITY (SIDA)</v>
          </cell>
          <cell r="S44" t="str">
            <v>08201</v>
          </cell>
          <cell r="W44" t="str">
            <v>NON ELECTRIC ENERGY</v>
          </cell>
          <cell r="X44">
            <v>70436</v>
          </cell>
        </row>
        <row r="45">
          <cell r="R45" t="str">
            <v>08202 - UNITED STATES AGENCY FOR INTERNATIONAL DEVELOPMENT (USAID)</v>
          </cell>
          <cell r="S45" t="str">
            <v>08202</v>
          </cell>
          <cell r="W45" t="str">
            <v>NURSING AND CONVALESCENT HOME SERVICES</v>
          </cell>
          <cell r="X45">
            <v>70734</v>
          </cell>
        </row>
        <row r="46">
          <cell r="R46" t="str">
            <v>08203 - DEPARTMENT FOR INTERNATIONAL DEVELOPMENT (DfID)</v>
          </cell>
          <cell r="S46" t="str">
            <v>08203</v>
          </cell>
          <cell r="W46" t="str">
            <v>OLD AGE</v>
          </cell>
          <cell r="X46">
            <v>71020</v>
          </cell>
        </row>
        <row r="47">
          <cell r="R47" t="str">
            <v>08204 - CANADIAN INTERNATIONAL DEVELOPMENT AGENCY (CIDA)</v>
          </cell>
          <cell r="S47" t="str">
            <v>08204</v>
          </cell>
          <cell r="W47" t="str">
            <v>OTHER GENERAL SERVICES</v>
          </cell>
          <cell r="X47">
            <v>70133</v>
          </cell>
        </row>
        <row r="48">
          <cell r="R48" t="str">
            <v>08205 - SAUDI FUND FOR DEVELOPMENT</v>
          </cell>
          <cell r="S48" t="str">
            <v>08205</v>
          </cell>
          <cell r="W48" t="str">
            <v>OTHER MEDICAL PRODUCTS</v>
          </cell>
          <cell r="X48">
            <v>70712</v>
          </cell>
        </row>
        <row r="49">
          <cell r="R49" t="str">
            <v>08301 - DONATION BY LOCAL NGOs</v>
          </cell>
          <cell r="S49" t="str">
            <v>08301</v>
          </cell>
          <cell r="W49" t="str">
            <v>OVERALL PLANNING AND STATISTICAL SERVICES</v>
          </cell>
          <cell r="X49">
            <v>70132</v>
          </cell>
        </row>
        <row r="50">
          <cell r="R50" t="str">
            <v>08302 - DONATION BY STATE GOVERNMENTS</v>
          </cell>
          <cell r="S50" t="str">
            <v>08302</v>
          </cell>
          <cell r="W50" t="str">
            <v>PARAMEDICAL SERVICES</v>
          </cell>
          <cell r="X50">
            <v>70724</v>
          </cell>
        </row>
        <row r="51">
          <cell r="R51" t="str">
            <v>08303 - DONATION BY LOCAL GOVERNMENTS</v>
          </cell>
          <cell r="S51" t="str">
            <v>08303</v>
          </cell>
          <cell r="W51" t="str">
            <v>PHARMACEUTICAL PRODUCTS</v>
          </cell>
          <cell r="X51">
            <v>70711</v>
          </cell>
        </row>
        <row r="52">
          <cell r="R52" t="str">
            <v xml:space="preserve">08304 - DONATIONS BY FED. GOVERNMENT OWNED COMPANIES </v>
          </cell>
          <cell r="S52" t="str">
            <v>08304</v>
          </cell>
          <cell r="W52" t="str">
            <v>POLLUTION ABATEMENT</v>
          </cell>
          <cell r="X52">
            <v>70530</v>
          </cell>
        </row>
        <row r="53">
          <cell r="R53" t="str">
            <v>08305 - DONATIONS BY PRIVATE SECTOR COMPANIES</v>
          </cell>
          <cell r="S53" t="str">
            <v>08305</v>
          </cell>
          <cell r="W53" t="str">
            <v>POST-SECONDARY NON-TERTIARY EDUCATION</v>
          </cell>
          <cell r="X53">
            <v>70930</v>
          </cell>
        </row>
        <row r="54">
          <cell r="R54" t="str">
            <v>08306 - DONATIONS BY INDIVIDUALS</v>
          </cell>
          <cell r="S54" t="str">
            <v>08306</v>
          </cell>
          <cell r="W54" t="str">
            <v>PRE-PRIMARY EDUCATION</v>
          </cell>
          <cell r="X54">
            <v>70911</v>
          </cell>
        </row>
        <row r="55">
          <cell r="R55" t="str">
            <v>09101 - BI-LATERAL LOANS</v>
          </cell>
          <cell r="S55" t="str">
            <v>09101</v>
          </cell>
          <cell r="W55" t="str">
            <v>PRIMARY EDUCATION</v>
          </cell>
          <cell r="X55">
            <v>70912</v>
          </cell>
        </row>
        <row r="56">
          <cell r="R56" t="str">
            <v>09201 - AFRICAN DEVELOPMENT BANK</v>
          </cell>
          <cell r="S56" t="str">
            <v>09201</v>
          </cell>
          <cell r="W56" t="str">
            <v>PROTECTION OF BIODIVERSITY AND LANDSCAPE</v>
          </cell>
          <cell r="X56">
            <v>70540</v>
          </cell>
        </row>
        <row r="57">
          <cell r="R57" t="str">
            <v>09202 - AFRICAN DEVELOPMENT FUND</v>
          </cell>
          <cell r="S57" t="str">
            <v>09202</v>
          </cell>
          <cell r="W57" t="str">
            <v>PUBLIC DEBT TRANSACTIONS</v>
          </cell>
          <cell r="X57">
            <v>70170</v>
          </cell>
        </row>
        <row r="58">
          <cell r="R58" t="str">
            <v>09203 - ARAB BANK FOR ECONOMIC DEVELOPMENT(BADEA)</v>
          </cell>
          <cell r="S58" t="str">
            <v>09203</v>
          </cell>
          <cell r="W58" t="str">
            <v>PUBLIC HEALTH SERVICES</v>
          </cell>
          <cell r="X58">
            <v>70740</v>
          </cell>
        </row>
        <row r="59">
          <cell r="R59" t="str">
            <v>09204 - ARAB LOAN FUND FOR AFRICAN ARAB LEAGUE</v>
          </cell>
          <cell r="S59" t="str">
            <v>09204</v>
          </cell>
          <cell r="W59" t="str">
            <v>R &amp; D AGRICULTURE, FORESTRY, FISHING AND HUNTING</v>
          </cell>
          <cell r="X59">
            <v>70482</v>
          </cell>
        </row>
        <row r="60">
          <cell r="R60" t="str">
            <v>09205 - ECOWAS FUND</v>
          </cell>
          <cell r="S60" t="str">
            <v>09205</v>
          </cell>
          <cell r="W60" t="str">
            <v>R &amp; D COMMUNICATION</v>
          </cell>
          <cell r="X60">
            <v>70486</v>
          </cell>
        </row>
        <row r="61">
          <cell r="R61" t="str">
            <v>09206 - EUROPEAN DEVELOPMENT FUND</v>
          </cell>
          <cell r="S61" t="str">
            <v>09206</v>
          </cell>
          <cell r="W61" t="str">
            <v>R &amp; D EDUCATION</v>
          </cell>
          <cell r="X61">
            <v>70970</v>
          </cell>
        </row>
        <row r="62">
          <cell r="R62" t="str">
            <v>09207 - EUROPEAN UNION</v>
          </cell>
          <cell r="S62" t="str">
            <v>09207</v>
          </cell>
          <cell r="W62" t="str">
            <v>R &amp; D ENVIRONMENTAL PROTECTION</v>
          </cell>
          <cell r="X62">
            <v>70550</v>
          </cell>
        </row>
        <row r="63">
          <cell r="R63" t="str">
            <v>09208 - EUROPEAN INVESTMENT BANK</v>
          </cell>
          <cell r="S63" t="str">
            <v>09208</v>
          </cell>
          <cell r="W63" t="str">
            <v>R &amp; D GENERAL ECONOMIC, COMMERCIAL AND LABOUR AFFAIRS</v>
          </cell>
          <cell r="X63">
            <v>70481</v>
          </cell>
        </row>
        <row r="64">
          <cell r="R64" t="str">
            <v>09209 - IDA - AFRICAN FACILITY</v>
          </cell>
          <cell r="S64" t="str">
            <v>09209</v>
          </cell>
          <cell r="W64" t="str">
            <v>R &amp; D HEALTH</v>
          </cell>
          <cell r="X64">
            <v>70750</v>
          </cell>
        </row>
        <row r="65">
          <cell r="R65" t="str">
            <v>09210 - INT. BANK FOR RECONSTRUCTION &amp; DEVELOPMENT (IBRD)</v>
          </cell>
          <cell r="S65" t="str">
            <v>09210</v>
          </cell>
          <cell r="W65" t="str">
            <v>R &amp; D HOUSING AND COMMUNITY AMENITIES</v>
          </cell>
          <cell r="X65">
            <v>70650</v>
          </cell>
        </row>
        <row r="66">
          <cell r="R66" t="str">
            <v>09211 - INTERNATIONAL DEVELOPMENT ASSOCIATION (IDA)</v>
          </cell>
          <cell r="S66" t="str">
            <v>09211</v>
          </cell>
          <cell r="W66" t="str">
            <v>R &amp; D MINING, MANUFACTURING AND CONSTRUCTION</v>
          </cell>
          <cell r="X66">
            <v>70484</v>
          </cell>
        </row>
        <row r="67">
          <cell r="R67" t="str">
            <v>09212 - INTERNATIONAL FINANCE CORPORATION</v>
          </cell>
          <cell r="S67" t="str">
            <v>09212</v>
          </cell>
          <cell r="W67" t="str">
            <v>R &amp; D OTHER INDUSTRIES</v>
          </cell>
          <cell r="X67">
            <v>70487</v>
          </cell>
        </row>
        <row r="68">
          <cell r="R68" t="str">
            <v>09213 - INTERNATIONAL FUND FOR AGRICULTURAL DEVELOPMENT</v>
          </cell>
          <cell r="S68" t="str">
            <v>09213</v>
          </cell>
          <cell r="W68" t="str">
            <v>R &amp; D RECREATION, CULTURE AND RELIGION</v>
          </cell>
          <cell r="X68">
            <v>70850</v>
          </cell>
        </row>
        <row r="69">
          <cell r="R69" t="str">
            <v>09214 - INTERNATIONAL MONETARY FUND</v>
          </cell>
          <cell r="S69" t="str">
            <v>09214</v>
          </cell>
          <cell r="W69" t="str">
            <v>R &amp; D SOCIAL PROTECTION</v>
          </cell>
          <cell r="X69">
            <v>71080</v>
          </cell>
        </row>
        <row r="70">
          <cell r="R70" t="str">
            <v>09215 - NIGERIA TRUST FUND</v>
          </cell>
          <cell r="S70" t="str">
            <v>09215</v>
          </cell>
          <cell r="W70" t="str">
            <v>R &amp; D TRANSPORT</v>
          </cell>
          <cell r="X70">
            <v>70485</v>
          </cell>
        </row>
        <row r="71">
          <cell r="R71" t="str">
            <v>09216 - NORDIC DEVELOPMENT FUND</v>
          </cell>
          <cell r="S71" t="str">
            <v>09216</v>
          </cell>
          <cell r="W71" t="str">
            <v>R&amp;D GENERAL PUBLIC SERVICES</v>
          </cell>
          <cell r="X71">
            <v>70150</v>
          </cell>
        </row>
        <row r="72">
          <cell r="R72" t="str">
            <v>09217 - ORGANISATION OF PETROLEUM EXPORTING COUNTRIES</v>
          </cell>
          <cell r="S72" t="str">
            <v>09217</v>
          </cell>
          <cell r="W72" t="str">
            <v>RAILWAY TRANSPORT</v>
          </cell>
          <cell r="X72">
            <v>70453</v>
          </cell>
        </row>
        <row r="73">
          <cell r="R73" t="str">
            <v>09218 - UNITED NATIONS DEVELOPMENT PROGRAMME (UNDP)</v>
          </cell>
          <cell r="S73" t="str">
            <v>09218</v>
          </cell>
          <cell r="W73" t="str">
            <v>RECREATION, CULTURE AND RELIGION N.E.C.</v>
          </cell>
          <cell r="X73">
            <v>70860</v>
          </cell>
        </row>
        <row r="74">
          <cell r="R74" t="str">
            <v>09219 - UNITED NATIONS CHILDREN'S FUND (UNICEF)</v>
          </cell>
          <cell r="S74" t="str">
            <v>09219</v>
          </cell>
          <cell r="W74" t="str">
            <v>RECREATIONAL AND SPORTING SERVICES</v>
          </cell>
          <cell r="X74">
            <v>70810</v>
          </cell>
        </row>
        <row r="75">
          <cell r="R75" t="str">
            <v>09220 - UNITED NATIONS FUND  FOR POPUPLATION ACTIVITIES</v>
          </cell>
          <cell r="S75" t="str">
            <v>09220</v>
          </cell>
          <cell r="W75" t="str">
            <v>RELIGIOUS AND OTHER COMMUNITY SERVICES</v>
          </cell>
          <cell r="X75">
            <v>70840</v>
          </cell>
        </row>
        <row r="76">
          <cell r="R76" t="str">
            <v>09221 - WORLD BANK TRUST FUND</v>
          </cell>
          <cell r="S76" t="str">
            <v>09221</v>
          </cell>
          <cell r="W76" t="str">
            <v>ROAD TRANSPORT</v>
          </cell>
          <cell r="X76">
            <v>70451</v>
          </cell>
        </row>
        <row r="77">
          <cell r="R77" t="str">
            <v>09222 - WORLD FOOD PROGRAMME</v>
          </cell>
          <cell r="S77" t="str">
            <v>09222</v>
          </cell>
          <cell r="W77" t="str">
            <v>SECOND STAGE OF TERTIARY EDUCATION</v>
          </cell>
          <cell r="X77">
            <v>70942</v>
          </cell>
        </row>
        <row r="78">
          <cell r="R78" t="str">
            <v>09223 - UNITED NATIONS CAPITAL DEVELOPMENT FUND (UNCDF)</v>
          </cell>
          <cell r="S78" t="str">
            <v>09223</v>
          </cell>
          <cell r="W78" t="str">
            <v>SICKNESS</v>
          </cell>
          <cell r="X78">
            <v>71011</v>
          </cell>
        </row>
        <row r="79">
          <cell r="R79" t="str">
            <v>09224 - GLOBAL 2000</v>
          </cell>
          <cell r="S79" t="str">
            <v>09224</v>
          </cell>
          <cell r="W79" t="str">
            <v>SOCIAL EXCLUSION N.E.C.</v>
          </cell>
          <cell r="X79">
            <v>71070</v>
          </cell>
        </row>
        <row r="80">
          <cell r="R80" t="str">
            <v>09225 - UNITED NATIONS INDUSTRIAL DEVELOPMENT ORGANISATION (UNIDO)</v>
          </cell>
          <cell r="S80" t="str">
            <v>09225</v>
          </cell>
          <cell r="W80" t="str">
            <v>SOCIAL PROTECTION N.E.C.</v>
          </cell>
          <cell r="X80">
            <v>71090</v>
          </cell>
        </row>
        <row r="81">
          <cell r="R81" t="str">
            <v>09226 - MULTI-DONOR BUDGET SUPPORT</v>
          </cell>
          <cell r="S81" t="str">
            <v>09226</v>
          </cell>
          <cell r="W81" t="str">
            <v>SPECIALIZED HOSPITAL SERVICES</v>
          </cell>
          <cell r="X81">
            <v>70732</v>
          </cell>
        </row>
        <row r="82">
          <cell r="R82" t="str">
            <v>10101 - RETAINED INTERNALLY GENERATED REVENUE</v>
          </cell>
          <cell r="S82">
            <v>10101</v>
          </cell>
          <cell r="W82" t="str">
            <v>SPECIALIZED MEDICAL SERVICES</v>
          </cell>
          <cell r="X82">
            <v>70722</v>
          </cell>
        </row>
        <row r="83">
          <cell r="R83" t="str">
            <v>10102 - PTA CONTRIBUTIONS</v>
          </cell>
          <cell r="S83">
            <v>10102</v>
          </cell>
          <cell r="W83" t="str">
            <v>STREET LIGHTING</v>
          </cell>
          <cell r="X83">
            <v>70640</v>
          </cell>
        </row>
        <row r="84">
          <cell r="R84" t="str">
            <v>10103 - SCHOOL LEVIES</v>
          </cell>
          <cell r="S84">
            <v>10103</v>
          </cell>
          <cell r="W84" t="str">
            <v>SUBSIDIARY SERVICES TO EDUCATION</v>
          </cell>
          <cell r="X84">
            <v>70960</v>
          </cell>
        </row>
        <row r="85">
          <cell r="W85" t="str">
            <v>SURVIVORS</v>
          </cell>
          <cell r="X85">
            <v>71030</v>
          </cell>
        </row>
        <row r="86">
          <cell r="W86" t="str">
            <v>THERAPEUTIC APPLIANCES AND EQUIPTMENT</v>
          </cell>
          <cell r="X86">
            <v>70713</v>
          </cell>
        </row>
        <row r="87">
          <cell r="W87" t="str">
            <v>TOURISM</v>
          </cell>
          <cell r="X87">
            <v>70473</v>
          </cell>
        </row>
        <row r="88">
          <cell r="W88" t="str">
            <v>TRANSFERS OF A GENERAL CHARACTER BETWEEN DIFFERENT LEVELS OF GOVERNMENT</v>
          </cell>
          <cell r="X88">
            <v>70180</v>
          </cell>
        </row>
        <row r="89">
          <cell r="W89" t="str">
            <v>UNEMPLOYMENT</v>
          </cell>
          <cell r="X89">
            <v>71050</v>
          </cell>
        </row>
        <row r="90">
          <cell r="W90" t="str">
            <v>UPPER-SECONDARY EDUCATION</v>
          </cell>
          <cell r="X90">
            <v>70922</v>
          </cell>
        </row>
        <row r="91">
          <cell r="W91" t="str">
            <v>WASTE MANAGEMENT</v>
          </cell>
          <cell r="X91">
            <v>70510</v>
          </cell>
        </row>
        <row r="92">
          <cell r="W92" t="str">
            <v>WASTE WATER MANAGEMENT</v>
          </cell>
          <cell r="X92">
            <v>70520</v>
          </cell>
        </row>
        <row r="93">
          <cell r="W93" t="str">
            <v>WATER SUPPLY</v>
          </cell>
          <cell r="X93">
            <v>70630</v>
          </cell>
        </row>
        <row r="94">
          <cell r="W94" t="str">
            <v>WATER TRANSPORT</v>
          </cell>
          <cell r="X94">
            <v>70452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ry_data_Sheet"/>
      <sheetName val="SIP Activity Sheet"/>
      <sheetName val="Chart_of_Accounts"/>
      <sheetName val="Costing Sheet"/>
      <sheetName val="Multiyear Costed Activity Sheet"/>
      <sheetName val="Multi-Year  Budget Recurrent"/>
      <sheetName val="Multi-Year  Budget Capital"/>
      <sheetName val="Budget Information Database"/>
    </sheetNames>
    <sheetDataSet>
      <sheetData sheetId="0"/>
      <sheetData sheetId="1">
        <row r="4">
          <cell r="C4" t="str">
            <v>Provision of 250,000kg of quality seeds each of six commodities of comparative advantage (Anchor Borrowers Scheme- Central Bank of Nigeria)</v>
          </cell>
          <cell r="D4" t="str">
            <v>1.) Market Survey analysis
2.) Quality seeds Procurements
3.)  Distribution of the seeds 
4.) Planting enlightenment</v>
          </cell>
          <cell r="E4" t="str">
            <v>Agric Services Departmen</v>
          </cell>
          <cell r="G4" t="str">
            <v>Capital</v>
          </cell>
          <cell r="H4" t="str">
            <v>AGRICULTURE</v>
          </cell>
          <cell r="I4" t="str">
            <v>02101 - MAIN ENVELOP - BUDGETARY ALLOCATION</v>
          </cell>
          <cell r="J4" t="str">
            <v>ACROSS THE STATE</v>
          </cell>
        </row>
        <row r="5">
          <cell r="C5" t="str">
            <v>Collaboration with Leventis Foundation (Agric School)</v>
          </cell>
          <cell r="D5" t="str">
            <v xml:space="preserve">1.) Provide Financial Support to Leventis Foundation (Agric School) 
2.) 
3.)  
4.) </v>
          </cell>
          <cell r="E5" t="str">
            <v>Agric Services Departmen</v>
          </cell>
          <cell r="G5" t="str">
            <v>Capital</v>
          </cell>
          <cell r="H5" t="str">
            <v>AGRICULTURE</v>
          </cell>
          <cell r="I5" t="str">
            <v>02101 - MAIN ENVELOP - BUDGETARY ALLOCATION</v>
          </cell>
          <cell r="J5" t="str">
            <v>ACROSS THE STATE</v>
          </cell>
        </row>
        <row r="6">
          <cell r="C6" t="str">
            <v>Fertilizer Operation</v>
          </cell>
          <cell r="D6" t="str">
            <v xml:space="preserve">1.) Fertilizer Storage and Distribution
2.) 
3.)   
4.) </v>
          </cell>
          <cell r="E6" t="str">
            <v xml:space="preserve">AGRIC SEVICES DEPARTMENT </v>
          </cell>
          <cell r="G6" t="str">
            <v>Capital</v>
          </cell>
          <cell r="H6" t="str">
            <v>AGRICULTURE</v>
          </cell>
          <cell r="I6" t="str">
            <v>02101 - MAIN ENVELOP - BUDGETARY ALLOCATION</v>
          </cell>
          <cell r="J6" t="str">
            <v>ACROSS THE STATE</v>
          </cell>
        </row>
        <row r="7">
          <cell r="C7" t="str">
            <v xml:space="preserve">Continuous support to Agricultural Research Institutions </v>
          </cell>
          <cell r="D7" t="str">
            <v xml:space="preserve"> 1.) Institution Financial support 
2.) 
3.)   
4.) </v>
          </cell>
          <cell r="E7" t="str">
            <v>PRS</v>
          </cell>
          <cell r="G7" t="str">
            <v>Capital</v>
          </cell>
          <cell r="H7" t="str">
            <v>AGRICULTURE</v>
          </cell>
          <cell r="I7" t="str">
            <v>02101 - MAIN ENVELOP - BUDGETARY ALLOCATION</v>
          </cell>
          <cell r="J7" t="str">
            <v>ACROSS THE STATE</v>
          </cell>
        </row>
        <row r="8">
          <cell r="C8" t="str">
            <v>Participation in the National Council on Agriculture and Rural Development</v>
          </cell>
          <cell r="D8" t="str">
            <v xml:space="preserve">1.) Attend annual national council on agriculture
2.) 
3.)   
4.) </v>
          </cell>
          <cell r="E8" t="str">
            <v xml:space="preserve">PRS </v>
          </cell>
          <cell r="G8" t="str">
            <v>Recurrent_overhead</v>
          </cell>
          <cell r="H8" t="str">
            <v>AGRICULTURE</v>
          </cell>
          <cell r="I8" t="str">
            <v>02101 - MAIN ENVELOP - BUDGETARY ALLOCATION</v>
          </cell>
          <cell r="J8" t="str">
            <v>ACROSS THE STATE</v>
          </cell>
        </row>
        <row r="9">
          <cell r="C9" t="str">
            <v>Staff Capacity enhancement</v>
          </cell>
          <cell r="D9" t="str">
            <v>1.) Staff Capacity Development
2.) In House retreat and team bonding
3.) SIP Review and Budget Preparation  
4.) Competitive Service Delievary (Monthly Staff Recognition Reward)</v>
          </cell>
          <cell r="E9" t="str">
            <v>ADMIN AND FINANCE DEPARTMENT/PRS</v>
          </cell>
          <cell r="G9" t="str">
            <v>Recurrent_overhead</v>
          </cell>
          <cell r="H9" t="str">
            <v>AGRICULTURE</v>
          </cell>
          <cell r="I9" t="str">
            <v>02101 - MAIN ENVELOP - BUDGETARY ALLOCATION</v>
          </cell>
          <cell r="J9" t="str">
            <v>ACROSS THE STATE</v>
          </cell>
        </row>
        <row r="10">
          <cell r="C10" t="str">
            <v>Effective administrative operation</v>
          </cell>
          <cell r="D10" t="str">
            <v xml:space="preserve">1.) Conduct In House IT Workshop for the PAs, Registries, Technical staff
2.) Reorganisation of Directorates/registeries 
3.) Purchase of stationary
4.)  Office Routing Maintanance  </v>
          </cell>
          <cell r="E10" t="str">
            <v>ADMIN AND PRS</v>
          </cell>
          <cell r="G10" t="str">
            <v>Recurrent_overhead</v>
          </cell>
        </row>
        <row r="11">
          <cell r="C11" t="str">
            <v>Improve Service delivery</v>
          </cell>
          <cell r="D11" t="str">
            <v>1.) Staff capacity development on effective Service Delivery
2.) Monthly/Daily Routing Activities
3.) Conduct Routing Official Meeting
4.) Media Interaction</v>
          </cell>
          <cell r="E11" t="str">
            <v>ADMIN DEPARTMENT</v>
          </cell>
          <cell r="G11" t="str">
            <v>Recurrent_overhead</v>
          </cell>
        </row>
        <row r="12">
          <cell r="C12" t="str">
            <v>Advocacy and Sensitization to the Public</v>
          </cell>
          <cell r="D12" t="str">
            <v xml:space="preserve">1.) Radio charts 
2.) Media jingles
3.) Demonstration  
4.) Annoucement
  </v>
          </cell>
          <cell r="E12" t="str">
            <v>FORESTRY</v>
          </cell>
          <cell r="G12" t="str">
            <v>Capital</v>
          </cell>
          <cell r="H12" t="str">
            <v>COMMUNITY DEVELOPMENT</v>
          </cell>
          <cell r="I12" t="str">
            <v>03101 - CAPITAL DEVELOPMENT FUND</v>
          </cell>
          <cell r="J12" t="str">
            <v>ACROSS THE STATE</v>
          </cell>
        </row>
        <row r="13">
          <cell r="C13" t="str">
            <v>Shelterbelt Management</v>
          </cell>
          <cell r="D13" t="str">
            <v>1.) Nuseries Preparation/Activities
2.) Forest Management Reserves Activities
3.) Watershed Management  
4.) Woodlot/orchard</v>
          </cell>
          <cell r="E13" t="str">
            <v>FORESTRY</v>
          </cell>
          <cell r="G13" t="str">
            <v>Capital</v>
          </cell>
          <cell r="H13" t="str">
            <v>FORESTRY</v>
          </cell>
          <cell r="I13" t="str">
            <v>03101 - CAPITAL DEVELOPMENT FUND</v>
          </cell>
          <cell r="J13" t="str">
            <v>ACROSS THE STATE</v>
          </cell>
        </row>
        <row r="14">
          <cell r="C14" t="str">
            <v>Domicile GAP/GHP through Parternership/consultant</v>
          </cell>
          <cell r="D14" t="str">
            <v>1.) GAP Analysis preparation
2.) Capacity training on Good Agricultural Practices
3.)   Consultation 
4.) GAP processing</v>
          </cell>
          <cell r="E14" t="str">
            <v>Agric Services Departmen</v>
          </cell>
          <cell r="G14" t="str">
            <v>Capital</v>
          </cell>
          <cell r="H14" t="str">
            <v>AGRICULTURE</v>
          </cell>
          <cell r="I14" t="str">
            <v>02101 - MAIN ENVELOP - BUDGETARY ALLOCATION</v>
          </cell>
          <cell r="J14" t="str">
            <v>ACROSS THE STATE</v>
          </cell>
        </row>
        <row r="15">
          <cell r="C15" t="str">
            <v>Renovation of Engineering outstation/ Procurement of Agricultural Equipment</v>
          </cell>
          <cell r="D15" t="str">
            <v>1.) Premilinary 
2.) Rehabilitation of Engineering out station structures
3.)   Purchase of mechanical workshop equipments
4.) Purchase and Distribution of Handtiller machine                                               5. Sensitization/Distribution of the HTM</v>
          </cell>
          <cell r="E15" t="str">
            <v>Agriculture Engineering</v>
          </cell>
          <cell r="G15" t="str">
            <v>Capital</v>
          </cell>
          <cell r="H15" t="str">
            <v>AGRICULTURE</v>
          </cell>
          <cell r="I15" t="str">
            <v>02101 - MAIN ENVELOP - BUDGETARY ALLOCATION</v>
          </cell>
          <cell r="J15" t="str">
            <v>ACROSS THE STATE</v>
          </cell>
        </row>
        <row r="16">
          <cell r="C16" t="str">
            <v>Purchase of 3 No briquette machine</v>
          </cell>
          <cell r="D16" t="str">
            <v xml:space="preserve">1.) Preliminary Activities of Briquette Purchase
2.)  Purchase and Installation of the Briquette Machine
3.) Training/Site Demonstration of the Briquette Machine  
4.) </v>
          </cell>
          <cell r="E16" t="str">
            <v>Agriculture Engineering</v>
          </cell>
          <cell r="G16" t="str">
            <v>Capital</v>
          </cell>
          <cell r="H16" t="str">
            <v>AGRICULTURE</v>
          </cell>
          <cell r="I16" t="str">
            <v>02101 - MAIN ENVELOP - BUDGETARY ALLOCATION</v>
          </cell>
          <cell r="J16" t="str">
            <v>ACROSS THE STATE</v>
          </cell>
        </row>
        <row r="17">
          <cell r="C17" t="str">
            <v>Establishment of Meat Regulatory Agency</v>
          </cell>
          <cell r="D17" t="str">
            <v>1.) Construction of office building 
2.) Purhase of Office Equipment 
3.) Purchase of quality control Equipment 
4.) Capacity Building(Training)</v>
          </cell>
          <cell r="E17" t="str">
            <v>Veterinary and Livestock</v>
          </cell>
          <cell r="G17" t="str">
            <v>Capital</v>
          </cell>
          <cell r="H17" t="str">
            <v>AGRICULTURE</v>
          </cell>
          <cell r="I17" t="str">
            <v>02101 - MAIN ENVELOP - BUDGETARY ALLOCATION</v>
          </cell>
          <cell r="J17" t="str">
            <v>ACROSS THE STATE</v>
          </cell>
        </row>
        <row r="18">
          <cell r="C18" t="str">
            <v>Formation of Public Health Emergency Response Committee</v>
          </cell>
          <cell r="D18" t="str">
            <v>1.) Office accomodation
2.) Office Equipment
3.)  Furniture 
4.) Response to outbreaks</v>
          </cell>
          <cell r="E18" t="str">
            <v>Veterinary and Livestock</v>
          </cell>
          <cell r="G18" t="str">
            <v>Capital</v>
          </cell>
          <cell r="H18" t="str">
            <v>AGRICULTURE</v>
          </cell>
          <cell r="I18" t="str">
            <v>02101 - MAIN ENVELOP - BUDGETARY ALLOCATION</v>
          </cell>
          <cell r="J18" t="str">
            <v>ACROSS THE STATE</v>
          </cell>
        </row>
        <row r="19">
          <cell r="C19" t="str">
            <v>Purchase of 3 No cold storage facility (solar energy)</v>
          </cell>
          <cell r="D19" t="str">
            <v xml:space="preserve">1.) Preliminary Activities of Solar Powered Cold Storage facility
2.)  Purchase and Installation of Solar Powered Cold Storage facility
3.) Training/Site Demonstration of Solar Powered Cold Storage facility
4.) </v>
          </cell>
          <cell r="E19" t="str">
            <v>Agriculture Engineering</v>
          </cell>
          <cell r="G19" t="str">
            <v>Capital</v>
          </cell>
          <cell r="H19" t="str">
            <v>AGRICULTURE</v>
          </cell>
          <cell r="I19" t="str">
            <v>02101 - MAIN ENVELOP - BUDGETARY ALLOCATION</v>
          </cell>
          <cell r="J19" t="str">
            <v>ACROSS THE STATE</v>
          </cell>
        </row>
        <row r="20">
          <cell r="C20" t="str">
            <v>PPP with Ollam in the Poultry Value Chain</v>
          </cell>
          <cell r="D20" t="str">
            <v>1.) Formation of poultry Farmer's clusters
2.) Capacity Building
3.)Supervision   
4.) Logistics</v>
          </cell>
          <cell r="E20" t="str">
            <v>Veterinary and Livestock</v>
          </cell>
          <cell r="G20" t="str">
            <v>Capital</v>
          </cell>
          <cell r="H20" t="str">
            <v>AGRICULTURE</v>
          </cell>
          <cell r="I20" t="str">
            <v>02101 - MAIN ENVELOP - BUDGETARY ALLOCATION</v>
          </cell>
          <cell r="J20" t="str">
            <v>ACROSS THE STATE</v>
          </cell>
        </row>
        <row r="21">
          <cell r="C21" t="str">
            <v>Strengthen the School of Livestock Training (PPU) Kawo Kaduna</v>
          </cell>
          <cell r="D21" t="str">
            <v>1.) Construction of buildings 
2.) Purchase of Furniture
3.) Purchase of Equipment  
4.) Purchase of animals</v>
          </cell>
          <cell r="E21" t="str">
            <v>Veterinary and Livestock</v>
          </cell>
          <cell r="G21" t="str">
            <v>Capital</v>
          </cell>
          <cell r="H21" t="str">
            <v>AGRICULTURE</v>
          </cell>
          <cell r="I21" t="str">
            <v>02101 - MAIN ENVELOP - BUDGETARY ALLOCATION</v>
          </cell>
          <cell r="J21" t="str">
            <v>KACHIA</v>
          </cell>
        </row>
        <row r="22">
          <cell r="C22" t="str">
            <v>Improvement of indigenous breeds through Cross Breeding</v>
          </cell>
          <cell r="D22" t="str">
            <v>1.)  Purchase of Artificial Insemination equipment
2.) Purchase of Improved Semen
3.)Training of Inseminators  
4.) Sensitization and enlightement</v>
          </cell>
          <cell r="E22" t="str">
            <v>Veterinary and Livestock</v>
          </cell>
          <cell r="G22" t="str">
            <v>Capital</v>
          </cell>
          <cell r="H22" t="str">
            <v>AGRICULTURE</v>
          </cell>
          <cell r="I22" t="str">
            <v>02101 - MAIN ENVELOP - BUDGETARY ALLOCATION</v>
          </cell>
          <cell r="J22" t="str">
            <v>ACROSS THE STATE</v>
          </cell>
        </row>
        <row r="23">
          <cell r="C23" t="str">
            <v xml:space="preserve">Provide financial support to commodity value Chain Development </v>
          </cell>
          <cell r="D23" t="str">
            <v xml:space="preserve">1.) sensitization
2.) agricultural support loan
3.) price stabilization
4.) monitoring and evaluation
</v>
          </cell>
          <cell r="E23" t="str">
            <v>Agric Services Departmen</v>
          </cell>
          <cell r="G23" t="str">
            <v>Capital</v>
          </cell>
          <cell r="H23" t="str">
            <v>AGRICULTURE</v>
          </cell>
          <cell r="I23" t="str">
            <v>02101 - MAIN ENVELOP - BUDGETARY ALLOCATION</v>
          </cell>
          <cell r="J23" t="str">
            <v>ACROSS THE STATE</v>
          </cell>
        </row>
        <row r="24">
          <cell r="C24" t="str">
            <v>Provision of 25% Insurance Premium Subsidy toFarmers.</v>
          </cell>
          <cell r="D24" t="str">
            <v xml:space="preserve">1.)  Provision of 25% Insurance Premium Subsidy to Farmers. 
2.) 
3.)   
4.) </v>
          </cell>
          <cell r="E24" t="str">
            <v xml:space="preserve">PRS </v>
          </cell>
          <cell r="G24" t="str">
            <v>Capital</v>
          </cell>
          <cell r="H24" t="str">
            <v>AGRICULTURE</v>
          </cell>
          <cell r="I24" t="str">
            <v>02101 - MAIN ENVELOP - BUDGETARY ALLOCATION</v>
          </cell>
          <cell r="J24" t="str">
            <v>ACROSS THE STATE</v>
          </cell>
        </row>
        <row r="25">
          <cell r="C25" t="str">
            <v>Rehabilitation of State own irrigation scheme across the state</v>
          </cell>
          <cell r="D25" t="str">
            <v xml:space="preserve">1.) Premilinaries and Sensitization
2.) Development of Irrigation structures
3.)   Construction of (4.0)m width access road
4.) </v>
          </cell>
          <cell r="E25" t="str">
            <v>IRRIGATION DEPARTMENT</v>
          </cell>
          <cell r="G25" t="str">
            <v>Capital</v>
          </cell>
          <cell r="H25" t="str">
            <v>AGRICULTURE</v>
          </cell>
          <cell r="I25" t="str">
            <v>02101 - MAIN ENVELOP - BUDGETARY ALLOCATION</v>
          </cell>
          <cell r="J25" t="str">
            <v>ACROSS THE STATE</v>
          </cell>
        </row>
        <row r="26">
          <cell r="C26" t="str">
            <v>Production of Fingerlings</v>
          </cell>
          <cell r="D26" t="str">
            <v xml:space="preserve">
1.) Preliminary Survey and selection of suitable locations
2.) feasibility studies of water bodies
3.) Stocking of varieties of fish species
4.) Logistics</v>
          </cell>
          <cell r="E26" t="str">
            <v>Agric Services Departmen</v>
          </cell>
          <cell r="G26" t="str">
            <v>Capital</v>
          </cell>
          <cell r="H26" t="str">
            <v>AGRICULTURE</v>
          </cell>
          <cell r="I26" t="str">
            <v>02101 - MAIN ENVELOP - BUDGETARY ALLOCATION</v>
          </cell>
          <cell r="J26" t="str">
            <v>ACROSS THE STATE</v>
          </cell>
        </row>
        <row r="27">
          <cell r="C27" t="str">
            <v xml:space="preserve">Advocacy and sensitization </v>
          </cell>
          <cell r="D27" t="str">
            <v xml:space="preserve">1.) Sensitization on Cooperative Clusterization
2.) Advocacy Meetings on cooperative clusterization
3.)  Seminars on Cooperative Clusterization For the Cooperative Officials
4.) </v>
          </cell>
          <cell r="E27" t="str">
            <v>COOPERATIVE</v>
          </cell>
          <cell r="G27" t="str">
            <v>Capital</v>
          </cell>
          <cell r="H27" t="str">
            <v>AGRICULTURE</v>
          </cell>
          <cell r="I27" t="str">
            <v>02101 - MAIN ENVELOP - BUDGETARY ALLOCATION</v>
          </cell>
          <cell r="J27" t="str">
            <v>ACROSS THE STATE</v>
          </cell>
        </row>
        <row r="28">
          <cell r="C28" t="str">
            <v>Restructuring of Cooperative Activities</v>
          </cell>
          <cell r="D28" t="str">
            <v xml:space="preserve">1.) Redesigning and Printing of materials
2.) Purchase of Cooperative Stationaries 
3.)   
 </v>
          </cell>
          <cell r="E28" t="str">
            <v>COOPERATIVE</v>
          </cell>
          <cell r="G28" t="str">
            <v>Capital</v>
          </cell>
          <cell r="H28" t="str">
            <v>AGRICULTURE</v>
          </cell>
          <cell r="I28" t="str">
            <v>02101 - MAIN ENVELOP - BUDGETARY ALLOCATION</v>
          </cell>
          <cell r="J28" t="str">
            <v>ACROSS THE STATE</v>
          </cell>
        </row>
        <row r="29">
          <cell r="C29" t="str">
            <v>Establishment of cooperative Financing Agency</v>
          </cell>
          <cell r="D29" t="str">
            <v>1.) Enlightment Campagne on Cooperative Federation and Clusterization
2.) Set up Cooperative Commission
3.) Establish organised Cooperative Federation
4.) Cooperative staff/official Capacity building</v>
          </cell>
          <cell r="E29" t="str">
            <v>COOPERATIVE</v>
          </cell>
          <cell r="G29" t="str">
            <v>Capital</v>
          </cell>
          <cell r="H29" t="str">
            <v>AGRICULTURE</v>
          </cell>
          <cell r="I29" t="str">
            <v>02101 - MAIN ENVELOP - BUDGETARY ALLOCATION</v>
          </cell>
          <cell r="J29" t="str">
            <v>ACROSS THE STATE</v>
          </cell>
        </row>
        <row r="30">
          <cell r="C30" t="str">
            <v>Rehabilitation of cooperative institute Ikara</v>
          </cell>
          <cell r="D30" t="str">
            <v xml:space="preserve">1.)  Renovation of Building Blocks
2.) Procurement of Equipment
3.)   
4.) </v>
          </cell>
          <cell r="E30" t="str">
            <v>COOPERATIVE</v>
          </cell>
          <cell r="G30" t="str">
            <v>Capital</v>
          </cell>
          <cell r="H30" t="str">
            <v>AGRICULTURE</v>
          </cell>
          <cell r="I30" t="str">
            <v>02101 - MAIN ENVELOP - BUDGETARY ALLOCATION</v>
          </cell>
          <cell r="J30" t="str">
            <v>ACROSS THE STATE</v>
          </cell>
        </row>
        <row r="31">
          <cell r="C31" t="str">
            <v>Annual Livestock Vaccination Activities</v>
          </cell>
          <cell r="D31" t="str">
            <v>1.)  Purchase of vaccines
2.) Fueling of vehicles
3.) Immunization Campaign  
4.) Distribution of vaccines</v>
          </cell>
          <cell r="E31" t="str">
            <v>Veterinary and Livestock</v>
          </cell>
          <cell r="G31" t="str">
            <v>Capital</v>
          </cell>
          <cell r="H31" t="str">
            <v>AGRICULTURE</v>
          </cell>
          <cell r="I31" t="str">
            <v>02101 - MAIN ENVELOP - BUDGETARY ALLOCATION</v>
          </cell>
          <cell r="J31" t="str">
            <v>ACROSS THE STATE</v>
          </cell>
        </row>
        <row r="32">
          <cell r="C32" t="str">
            <v>Procurement of chemicals &amp; Equipment for Prevention of Disease Outbreak</v>
          </cell>
          <cell r="D32" t="str">
            <v>1.) Registration of Poultry Farms 
2.) Purchase of Chemicals
3.) Purchase of equipment
4.) Sensitization and Awareness</v>
          </cell>
          <cell r="E32" t="str">
            <v>Veterinary and Livestock</v>
          </cell>
          <cell r="G32" t="str">
            <v>Capital</v>
          </cell>
          <cell r="H32" t="str">
            <v>AGRICULTURE</v>
          </cell>
          <cell r="I32" t="str">
            <v>02101 - MAIN ENVELOP - BUDGETARY ALLOCATION</v>
          </cell>
          <cell r="J32" t="str">
            <v>ACROSS THE STATE</v>
          </cell>
        </row>
        <row r="33">
          <cell r="C33" t="str">
            <v>Development of Livestock Production Clusters</v>
          </cell>
          <cell r="D33" t="str">
            <v>1.) Construction of livestock Service Centres 
2.) Purchase of Equipment
3.) Pasture Development
4.)Water/Utilities Supply                       5.)  Tracing of Stock Route</v>
          </cell>
          <cell r="E33" t="str">
            <v>Veterinary and Livestock</v>
          </cell>
          <cell r="G33" t="str">
            <v>Capital</v>
          </cell>
          <cell r="H33" t="str">
            <v>AGRICULTURE</v>
          </cell>
          <cell r="I33" t="str">
            <v>02101 - MAIN ENVELOP - BUDGETARY ALLOCATION</v>
          </cell>
          <cell r="J33" t="str">
            <v>ACROSS THE STATE</v>
          </cell>
        </row>
        <row r="34">
          <cell r="C34" t="str">
            <v>Rehabilitation/Equipment /Maintenance of 75 warehouses</v>
          </cell>
          <cell r="D34" t="str">
            <v xml:space="preserve">1.) Development of Bill of Quantities
2.) Renovation of existing warehouses
3.)  Construction of new warehouses 
4.) </v>
          </cell>
          <cell r="E34" t="str">
            <v>Agric Services Departmen</v>
          </cell>
          <cell r="G34" t="str">
            <v>Capital</v>
          </cell>
          <cell r="H34" t="str">
            <v>AGRICULTURE</v>
          </cell>
          <cell r="I34" t="str">
            <v>02101 - MAIN ENVELOP - BUDGETARY ALLOCATION</v>
          </cell>
          <cell r="J34" t="str">
            <v>ACROSS THE STATE</v>
          </cell>
        </row>
        <row r="35">
          <cell r="C35" t="str">
            <v>Purchase of 3 No briquette machines</v>
          </cell>
          <cell r="D35" t="str">
            <v xml:space="preserve">1.) Preliminary Activities of Briquette Purchase
2.)  Purchase and Installation of the Briquette Machine
3.) Training/Site Demonstration of the Briquette Machine  
4.) </v>
          </cell>
          <cell r="E35" t="str">
            <v>Agriculture Engineering</v>
          </cell>
          <cell r="G35" t="str">
            <v>Capital</v>
          </cell>
          <cell r="H35" t="str">
            <v>AGRICULTURE</v>
          </cell>
          <cell r="I35" t="str">
            <v>02101 - MAIN ENVELOP - BUDGETARY ALLOCATION</v>
          </cell>
          <cell r="J35" t="str">
            <v>ACROSS THE STATE</v>
          </cell>
        </row>
        <row r="36">
          <cell r="C36" t="str">
            <v>Procure Demonstrating Equipment for the School of Home Economic</v>
          </cell>
          <cell r="D36" t="str">
            <v xml:space="preserve">1.)  Purchase of School Equipments
2.) 
3.)   
4.) </v>
          </cell>
          <cell r="E36" t="str">
            <v xml:space="preserve">AGRIC SEVICES DEPARTMENT </v>
          </cell>
          <cell r="G36" t="str">
            <v>Capital</v>
          </cell>
          <cell r="H36" t="str">
            <v>AGRICULTURE</v>
          </cell>
          <cell r="I36" t="str">
            <v>02101 - MAIN ENVELOP - BUDGETARY ALLOCATION</v>
          </cell>
          <cell r="J36" t="str">
            <v>KADUNA NORTH</v>
          </cell>
        </row>
        <row r="37">
          <cell r="D37" t="str">
            <v xml:space="preserve">1.)  
2.) 
3.)   
4.) </v>
          </cell>
        </row>
        <row r="38">
          <cell r="D38" t="str">
            <v xml:space="preserve">1.)  
2.) 
3.)   
4.) </v>
          </cell>
        </row>
        <row r="39">
          <cell r="D39" t="str">
            <v xml:space="preserve">1.)  
2.) 
3.)   
4.) </v>
          </cell>
        </row>
        <row r="40">
          <cell r="D40" t="str">
            <v xml:space="preserve">1.)  
2.) 
3.)   
4.) </v>
          </cell>
        </row>
        <row r="41">
          <cell r="D41" t="str">
            <v xml:space="preserve">1.)  
2.) 
3.)   
4.) </v>
          </cell>
        </row>
        <row r="42">
          <cell r="D42" t="str">
            <v xml:space="preserve">1.)  
2.) 
3.)   
4.) </v>
          </cell>
        </row>
        <row r="43">
          <cell r="D43" t="str">
            <v xml:space="preserve">1.)  
2.) 
3.)   
4.) </v>
          </cell>
        </row>
        <row r="44">
          <cell r="D44" t="str">
            <v xml:space="preserve">1.)  
2.) 
3.)   
4.) </v>
          </cell>
        </row>
        <row r="45">
          <cell r="D45" t="str">
            <v xml:space="preserve">1.)  
2.) 
3.)   
4.) </v>
          </cell>
        </row>
        <row r="46">
          <cell r="D46" t="str">
            <v xml:space="preserve">1.)  
2.) 
3.)   
4.) </v>
          </cell>
        </row>
        <row r="47">
          <cell r="D47" t="str">
            <v xml:space="preserve">1.)  
2.) 
3.)   
4.) </v>
          </cell>
        </row>
        <row r="48">
          <cell r="D48" t="str">
            <v xml:space="preserve">1.)  
2.) 
3.)   
4.) </v>
          </cell>
        </row>
        <row r="49">
          <cell r="D49" t="str">
            <v xml:space="preserve">1.)  
2.) 
3.)   
4.) </v>
          </cell>
        </row>
        <row r="50">
          <cell r="D50" t="str">
            <v xml:space="preserve">1.)  
2.) 
3.)   
4.) </v>
          </cell>
        </row>
        <row r="51">
          <cell r="D51" t="str">
            <v xml:space="preserve">1.)  
2.) 
3.)   
4.) </v>
          </cell>
        </row>
        <row r="52">
          <cell r="D52" t="str">
            <v xml:space="preserve">1.)  
2.) 
3.)   
4.) </v>
          </cell>
        </row>
        <row r="53">
          <cell r="D53" t="str">
            <v xml:space="preserve">1.)  
2.) 
3.)   
4.) </v>
          </cell>
        </row>
        <row r="54">
          <cell r="D54" t="str">
            <v xml:space="preserve">1.)  
2.) 
3.)   
4.) </v>
          </cell>
        </row>
        <row r="55">
          <cell r="D55" t="str">
            <v xml:space="preserve">1.)  
2.) 
3.)   
4.) </v>
          </cell>
        </row>
        <row r="56">
          <cell r="D56" t="str">
            <v xml:space="preserve">1.)  
2.) 
3.)   
4.) </v>
          </cell>
        </row>
        <row r="57">
          <cell r="D57" t="str">
            <v xml:space="preserve">1.)  
2.) 
3.)   
4.) </v>
          </cell>
        </row>
        <row r="58">
          <cell r="D58" t="str">
            <v xml:space="preserve">1.)  
2.) 
3.)   
4.) </v>
          </cell>
        </row>
        <row r="59">
          <cell r="D59" t="str">
            <v xml:space="preserve">1.)  
2.) 
3.)   
4.) </v>
          </cell>
        </row>
        <row r="60">
          <cell r="D60" t="str">
            <v xml:space="preserve">1.)  
2.) 
3.)   
4.) </v>
          </cell>
        </row>
        <row r="61">
          <cell r="D61" t="str">
            <v xml:space="preserve">1.)  
2.) 
3.)   
4.) </v>
          </cell>
        </row>
        <row r="62">
          <cell r="D62" t="str">
            <v xml:space="preserve">1.)  
2.) 
3.)   
4.) </v>
          </cell>
        </row>
        <row r="63">
          <cell r="D63" t="str">
            <v xml:space="preserve">1.)  
2.) 
3.)   
4.) </v>
          </cell>
        </row>
        <row r="64">
          <cell r="D64" t="str">
            <v xml:space="preserve">1.)  
2.) 
3.)   
4.) </v>
          </cell>
        </row>
        <row r="65">
          <cell r="D65" t="str">
            <v xml:space="preserve">1.)  
2.) 
3.)   
4.) </v>
          </cell>
        </row>
        <row r="66">
          <cell r="D66" t="str">
            <v xml:space="preserve">1.)  
2.) 
3.)   
4.) </v>
          </cell>
        </row>
        <row r="67">
          <cell r="D67" t="str">
            <v xml:space="preserve">1.)  
2.) 
3.)   
4.) </v>
          </cell>
        </row>
        <row r="68">
          <cell r="D68" t="str">
            <v xml:space="preserve">1.)  
2.) 
3.)   
4.) </v>
          </cell>
        </row>
        <row r="69">
          <cell r="D69" t="str">
            <v xml:space="preserve">1.)  
2.) 
3.)   
4.) </v>
          </cell>
        </row>
        <row r="70">
          <cell r="D70" t="str">
            <v xml:space="preserve">1.)  
2.) 
3.)   
4.) </v>
          </cell>
        </row>
        <row r="71">
          <cell r="D71" t="str">
            <v xml:space="preserve">1.)  
2.) 
3.)   
4.) </v>
          </cell>
        </row>
        <row r="72">
          <cell r="D72" t="str">
            <v xml:space="preserve">1.)  
2.) 
3.)   
4.) </v>
          </cell>
        </row>
        <row r="73">
          <cell r="D73" t="str">
            <v xml:space="preserve">1.)  
2.) 
3.)   
4.) </v>
          </cell>
        </row>
        <row r="74">
          <cell r="D74" t="str">
            <v xml:space="preserve">1.)  
2.) 
3.)   
4.) </v>
          </cell>
        </row>
        <row r="75">
          <cell r="D75" t="str">
            <v xml:space="preserve">1.)  
2.) 
3.)   
4.) </v>
          </cell>
        </row>
        <row r="76">
          <cell r="D76" t="str">
            <v xml:space="preserve">1.)  
2.) 
3.)   
4.) </v>
          </cell>
        </row>
        <row r="77">
          <cell r="D77" t="str">
            <v xml:space="preserve">1.)  
2.) 
3.)   
4.) </v>
          </cell>
        </row>
        <row r="78">
          <cell r="D78" t="str">
            <v xml:space="preserve">1.)  
2.) 
3.)   
4.) </v>
          </cell>
        </row>
        <row r="79">
          <cell r="D79" t="str">
            <v xml:space="preserve">1.)  
2.) 
3.)   
4.) </v>
          </cell>
        </row>
        <row r="80">
          <cell r="D80" t="str">
            <v xml:space="preserve">1.)  
2.) 
3.)   
4.) </v>
          </cell>
        </row>
        <row r="81">
          <cell r="D81" t="str">
            <v xml:space="preserve">1.)  
2.) 
3.)   
4.) </v>
          </cell>
        </row>
        <row r="82">
          <cell r="D82" t="str">
            <v xml:space="preserve">1.)  
2.) 
3.)   
4.) </v>
          </cell>
        </row>
        <row r="83">
          <cell r="D83" t="str">
            <v xml:space="preserve">1.)  
2.) 
3.)   
4.) </v>
          </cell>
        </row>
        <row r="84">
          <cell r="D84" t="str">
            <v xml:space="preserve">1.)  
2.) 
3.)   
4.) </v>
          </cell>
        </row>
        <row r="85">
          <cell r="D85" t="str">
            <v xml:space="preserve">1.)  
2.) 
3.)   
4.) </v>
          </cell>
        </row>
        <row r="86">
          <cell r="D86" t="str">
            <v xml:space="preserve">1.)  
2.) 
3.)   
4.) </v>
          </cell>
        </row>
        <row r="87">
          <cell r="D87" t="str">
            <v xml:space="preserve">1.)  
2.) 
3.)   
4.) </v>
          </cell>
        </row>
        <row r="88">
          <cell r="D88" t="str">
            <v xml:space="preserve">1.)  
2.) 
3.)   
4.) </v>
          </cell>
        </row>
        <row r="89">
          <cell r="D89" t="str">
            <v xml:space="preserve">1.)  
2.) 
3.)   
4.) </v>
          </cell>
        </row>
        <row r="90">
          <cell r="D90" t="str">
            <v xml:space="preserve">1.)  
2.) 
3.)   
4.) </v>
          </cell>
        </row>
        <row r="91">
          <cell r="D91" t="str">
            <v xml:space="preserve">1.)  
2.) 
3.)   
4.) </v>
          </cell>
        </row>
        <row r="92">
          <cell r="D92" t="str">
            <v xml:space="preserve">1.)  
2.) 
3.)   
4.) </v>
          </cell>
        </row>
        <row r="93">
          <cell r="D93" t="str">
            <v xml:space="preserve">1.)  
2.) 
3.)   
4.) </v>
          </cell>
        </row>
        <row r="94">
          <cell r="D94" t="str">
            <v xml:space="preserve">1.)  
2.) 
3.)   
4.) </v>
          </cell>
        </row>
        <row r="95">
          <cell r="D95" t="str">
            <v xml:space="preserve">1.)  
2.) 
3.)   
4.) </v>
          </cell>
        </row>
        <row r="96">
          <cell r="D96" t="str">
            <v xml:space="preserve">1.)  
2.) 
3.)   
4.) </v>
          </cell>
        </row>
        <row r="97">
          <cell r="D97" t="str">
            <v xml:space="preserve">1.)  
2.) 
3.)   
4.) </v>
          </cell>
        </row>
        <row r="98">
          <cell r="D98" t="str">
            <v xml:space="preserve">1.)  
2.) 
3.)   
4.) </v>
          </cell>
        </row>
        <row r="99">
          <cell r="D99" t="str">
            <v xml:space="preserve">1.)  
2.) 
3.)   
4.) </v>
          </cell>
        </row>
        <row r="100">
          <cell r="D100" t="str">
            <v xml:space="preserve">1.)  
2.) 
3.)   
4.) </v>
          </cell>
        </row>
        <row r="101">
          <cell r="D101" t="str">
            <v xml:space="preserve">1.)  
2.) 
3.)   
4.) </v>
          </cell>
        </row>
        <row r="102">
          <cell r="D102" t="str">
            <v xml:space="preserve">1.)  
2.) 
3.)   
4.) </v>
          </cell>
        </row>
        <row r="103">
          <cell r="D103" t="str">
            <v xml:space="preserve">1.)  
2.) 
3.)   
4.) </v>
          </cell>
        </row>
        <row r="104">
          <cell r="D104" t="str">
            <v xml:space="preserve">1.)  
2.) 
3.)   
4.) </v>
          </cell>
        </row>
        <row r="105">
          <cell r="D105" t="str">
            <v xml:space="preserve">1.)  
2.) 
3.)   
4.) </v>
          </cell>
        </row>
        <row r="106">
          <cell r="D106" t="str">
            <v xml:space="preserve">1.)  
2.) 
3.)   
4.) </v>
          </cell>
        </row>
        <row r="107">
          <cell r="D107" t="str">
            <v xml:space="preserve">1.)  
2.) 
3.)   
4.) </v>
          </cell>
        </row>
        <row r="108">
          <cell r="D108" t="str">
            <v xml:space="preserve">1.)  
2.) 
3.)   
4.) </v>
          </cell>
        </row>
        <row r="109">
          <cell r="D109" t="str">
            <v xml:space="preserve">1.)  
2.) 
3.)   
4.) </v>
          </cell>
        </row>
        <row r="110">
          <cell r="D110" t="str">
            <v xml:space="preserve">1.)  
2.) 
3.)   
4.) </v>
          </cell>
        </row>
        <row r="111">
          <cell r="D111" t="str">
            <v xml:space="preserve">1.)  
2.) 
3.)   
4.) </v>
          </cell>
        </row>
        <row r="112">
          <cell r="D112" t="str">
            <v xml:space="preserve">1.)  
2.) 
3.)   
4.) </v>
          </cell>
        </row>
        <row r="113">
          <cell r="D113" t="str">
            <v xml:space="preserve">1.)  
2.) 
3.)   
4.) </v>
          </cell>
        </row>
        <row r="114">
          <cell r="D114" t="str">
            <v xml:space="preserve">1.)  
2.) 
3.)   
4.) </v>
          </cell>
        </row>
        <row r="115">
          <cell r="D115" t="str">
            <v xml:space="preserve">1.)  
2.) 
3.)   
4.) </v>
          </cell>
        </row>
        <row r="116">
          <cell r="D116" t="str">
            <v xml:space="preserve">1.)  
2.) 
3.)   
4.) </v>
          </cell>
        </row>
        <row r="117">
          <cell r="D117" t="str">
            <v xml:space="preserve">1.)  
2.) 
3.)   
4.) </v>
          </cell>
        </row>
        <row r="118">
          <cell r="D118" t="str">
            <v xml:space="preserve">1.)  
2.) 
3.)   
4.) </v>
          </cell>
        </row>
        <row r="119">
          <cell r="D119" t="str">
            <v xml:space="preserve">1.)  
2.) 
3.)   
4.) </v>
          </cell>
        </row>
        <row r="120">
          <cell r="D120" t="str">
            <v xml:space="preserve">1.)  
2.) 
3.)   
4.) </v>
          </cell>
        </row>
        <row r="121">
          <cell r="D121" t="str">
            <v xml:space="preserve">1.)  
2.) 
3.)   
4.) </v>
          </cell>
        </row>
        <row r="122">
          <cell r="D122" t="str">
            <v xml:space="preserve">1.)  
2.) 
3.)   
4.) </v>
          </cell>
        </row>
        <row r="123">
          <cell r="D123" t="str">
            <v xml:space="preserve">1.)  
2.) 
3.)   
4.) </v>
          </cell>
        </row>
        <row r="124">
          <cell r="D124" t="str">
            <v xml:space="preserve">1.)  
2.) 
3.)   
4.) </v>
          </cell>
        </row>
        <row r="125">
          <cell r="D125" t="str">
            <v xml:space="preserve">1.)  
2.) 
3.)   
4.) </v>
          </cell>
        </row>
        <row r="126">
          <cell r="D126" t="str">
            <v xml:space="preserve">1.)  
2.) 
3.)   
4.) </v>
          </cell>
        </row>
        <row r="127">
          <cell r="D127" t="str">
            <v xml:space="preserve">1.)  
2.) 
3.)   
4.) </v>
          </cell>
        </row>
        <row r="128">
          <cell r="D128" t="str">
            <v xml:space="preserve">1.)  
2.) 
3.)   
4.) </v>
          </cell>
        </row>
        <row r="129">
          <cell r="D129" t="str">
            <v xml:space="preserve">1.)  
2.) 
3.)   
4.) </v>
          </cell>
        </row>
        <row r="130">
          <cell r="D130" t="str">
            <v xml:space="preserve">1.)  
2.) 
3.)   
4.) </v>
          </cell>
        </row>
        <row r="131">
          <cell r="D131" t="str">
            <v xml:space="preserve">1.)  
2.) 
3.)   
4.) </v>
          </cell>
        </row>
        <row r="132">
          <cell r="D132" t="str">
            <v xml:space="preserve">1.)  
2.) 
3.)   
4.) </v>
          </cell>
        </row>
        <row r="133">
          <cell r="D133" t="str">
            <v xml:space="preserve">1.)  
2.) 
3.)   
4.) </v>
          </cell>
        </row>
        <row r="134">
          <cell r="D134" t="str">
            <v xml:space="preserve">1.)  
2.) 
3.)   
4.) </v>
          </cell>
        </row>
        <row r="135">
          <cell r="D135" t="str">
            <v xml:space="preserve">1.)  
2.) 
3.)   
4.) </v>
          </cell>
        </row>
        <row r="136">
          <cell r="D136" t="str">
            <v xml:space="preserve">1.)  
2.) 
3.)   
4.) </v>
          </cell>
        </row>
        <row r="137">
          <cell r="D137" t="str">
            <v xml:space="preserve">1.)  
2.) 
3.)   
4.) </v>
          </cell>
        </row>
        <row r="138">
          <cell r="D138" t="str">
            <v xml:space="preserve">1.)  
2.) 
3.)   
4.) </v>
          </cell>
        </row>
        <row r="139">
          <cell r="D139" t="str">
            <v xml:space="preserve">1.)  
2.) 
3.)   
4.) </v>
          </cell>
        </row>
        <row r="140">
          <cell r="D140" t="str">
            <v xml:space="preserve">1.)  
2.) 
3.)   
4.) </v>
          </cell>
        </row>
        <row r="141">
          <cell r="D141" t="str">
            <v xml:space="preserve">1.)  
2.) 
3.)   
4.) </v>
          </cell>
        </row>
        <row r="142">
          <cell r="D142" t="str">
            <v xml:space="preserve">1.)  
2.) 
3.)   
4.) </v>
          </cell>
        </row>
        <row r="143">
          <cell r="D143" t="str">
            <v xml:space="preserve">1.)  
2.) 
3.)   
4.) </v>
          </cell>
        </row>
        <row r="144">
          <cell r="D144" t="str">
            <v xml:space="preserve">1.)  
2.) 
3.)   
4.) </v>
          </cell>
        </row>
        <row r="145">
          <cell r="D145" t="str">
            <v xml:space="preserve">1.)  
2.) 
3.)   
4.) </v>
          </cell>
        </row>
        <row r="146">
          <cell r="D146" t="str">
            <v xml:space="preserve">1.)  
2.) 
3.)   
4.) </v>
          </cell>
        </row>
        <row r="147">
          <cell r="D147" t="str">
            <v xml:space="preserve">1.)  
2.) 
3.)   
4.) </v>
          </cell>
        </row>
        <row r="148">
          <cell r="D148" t="str">
            <v xml:space="preserve">1.)  
2.) 
3.)   
4.) </v>
          </cell>
        </row>
        <row r="149">
          <cell r="D149" t="str">
            <v xml:space="preserve">1.)  
2.) 
3.)   
4.) </v>
          </cell>
        </row>
        <row r="150">
          <cell r="D150" t="str">
            <v xml:space="preserve">1.)  
2.) 
3.)   
4.) </v>
          </cell>
        </row>
        <row r="151">
          <cell r="D151" t="str">
            <v xml:space="preserve">1.)  
2.) 
3.)   
4.) </v>
          </cell>
        </row>
        <row r="152">
          <cell r="D152" t="str">
            <v xml:space="preserve">1.)  
2.) 
3.)   
4.) </v>
          </cell>
        </row>
        <row r="153">
          <cell r="D153" t="str">
            <v xml:space="preserve">1.)  
2.) 
3.)   
4.) </v>
          </cell>
        </row>
        <row r="154">
          <cell r="D154" t="str">
            <v xml:space="preserve">1.)  
2.) 
3.)   
4.) </v>
          </cell>
        </row>
        <row r="155">
          <cell r="D155" t="str">
            <v xml:space="preserve">1.)  
2.) 
3.)   
4.) </v>
          </cell>
        </row>
        <row r="156">
          <cell r="D156" t="str">
            <v xml:space="preserve">1.)  
2.) 
3.)   
4.) </v>
          </cell>
        </row>
        <row r="157">
          <cell r="D157" t="str">
            <v xml:space="preserve">1.)  
2.) 
3.)   
4.) </v>
          </cell>
        </row>
        <row r="158">
          <cell r="D158" t="str">
            <v xml:space="preserve">1.)  
2.) 
3.)   
4.) </v>
          </cell>
        </row>
        <row r="159">
          <cell r="D159" t="str">
            <v xml:space="preserve">1.)  
2.) 
3.)   
4.) </v>
          </cell>
        </row>
        <row r="160">
          <cell r="D160" t="str">
            <v xml:space="preserve">1.)  
2.) 
3.)   
4.) </v>
          </cell>
        </row>
        <row r="161">
          <cell r="D161" t="str">
            <v xml:space="preserve">1.)  
2.) 
3.)   
4.) </v>
          </cell>
        </row>
        <row r="162">
          <cell r="D162" t="str">
            <v xml:space="preserve">1.)  
2.) 
3.)   
4.) </v>
          </cell>
        </row>
        <row r="163">
          <cell r="D163" t="str">
            <v xml:space="preserve">1.)  
2.) 
3.)   
4.) </v>
          </cell>
        </row>
        <row r="164">
          <cell r="D164" t="str">
            <v xml:space="preserve">1.)  
2.) 
3.)   
4.) </v>
          </cell>
        </row>
        <row r="165">
          <cell r="D165" t="str">
            <v xml:space="preserve">1.)  
2.) 
3.)   
4.) </v>
          </cell>
        </row>
        <row r="166">
          <cell r="D166" t="str">
            <v xml:space="preserve">1.)  
2.) 
3.)   
4.) </v>
          </cell>
        </row>
        <row r="167">
          <cell r="D167" t="str">
            <v xml:space="preserve">1.)  
2.) 
3.)   
4.) </v>
          </cell>
        </row>
        <row r="168">
          <cell r="D168" t="str">
            <v xml:space="preserve">1.)  
2.) 
3.)   
4.) </v>
          </cell>
        </row>
        <row r="169">
          <cell r="D169" t="str">
            <v xml:space="preserve">1.)  
2.) 
3.)   
4.) </v>
          </cell>
        </row>
        <row r="170">
          <cell r="D170" t="str">
            <v xml:space="preserve">1.)  
2.) 
3.)   
4.) </v>
          </cell>
        </row>
        <row r="171">
          <cell r="D171" t="str">
            <v xml:space="preserve">1.)  
2.) 
3.)   
4.) </v>
          </cell>
        </row>
        <row r="172">
          <cell r="D172" t="str">
            <v xml:space="preserve">1.)  
2.) 
3.)   
4.) </v>
          </cell>
        </row>
        <row r="173">
          <cell r="D173" t="str">
            <v xml:space="preserve">1.)  
2.) 
3.)   
4.) </v>
          </cell>
        </row>
        <row r="174">
          <cell r="D174" t="str">
            <v xml:space="preserve">1.)  
2.) 
3.)   
4.) </v>
          </cell>
        </row>
        <row r="175">
          <cell r="D175" t="str">
            <v xml:space="preserve">1.)  
2.) 
3.)   
4.) </v>
          </cell>
        </row>
        <row r="176">
          <cell r="D176" t="str">
            <v xml:space="preserve">1.)  
2.) 
3.)   
4.) </v>
          </cell>
        </row>
        <row r="177">
          <cell r="D177" t="str">
            <v xml:space="preserve">1.)  
2.) 
3.)   
4.) </v>
          </cell>
        </row>
        <row r="178">
          <cell r="D178" t="str">
            <v xml:space="preserve">1.)  
2.) 
3.)   
4.) </v>
          </cell>
        </row>
        <row r="179">
          <cell r="D179" t="str">
            <v xml:space="preserve">1.)  
2.) 
3.)   
4.) </v>
          </cell>
        </row>
        <row r="180">
          <cell r="D180" t="str">
            <v xml:space="preserve">1.)  
2.) 
3.)   
4.) </v>
          </cell>
        </row>
        <row r="181">
          <cell r="D181" t="str">
            <v xml:space="preserve">1.)  
2.) 
3.)   
4.) </v>
          </cell>
        </row>
        <row r="182">
          <cell r="D182" t="str">
            <v xml:space="preserve">1.)  
2.) 
3.)   
4.) </v>
          </cell>
        </row>
        <row r="183">
          <cell r="D183" t="str">
            <v xml:space="preserve">1.)  
2.) 
3.)   
4.) </v>
          </cell>
        </row>
        <row r="184">
          <cell r="D184" t="str">
            <v xml:space="preserve">1.)  
2.) 
3.)   
4.) </v>
          </cell>
        </row>
        <row r="185">
          <cell r="D185" t="str">
            <v xml:space="preserve">1.)  
2.) 
3.)   
4.) </v>
          </cell>
        </row>
        <row r="186">
          <cell r="D186" t="str">
            <v xml:space="preserve">1.)  
2.) 
3.)   
4.) </v>
          </cell>
        </row>
        <row r="187">
          <cell r="D187" t="str">
            <v xml:space="preserve">1.)  
2.) 
3.)   
4.) </v>
          </cell>
        </row>
        <row r="188">
          <cell r="D188" t="str">
            <v xml:space="preserve">1.)  
2.) 
3.)   
4.) </v>
          </cell>
        </row>
        <row r="189">
          <cell r="D189" t="str">
            <v xml:space="preserve">1.)  
2.) 
3.)   
4.) </v>
          </cell>
        </row>
        <row r="190">
          <cell r="D190" t="str">
            <v xml:space="preserve">1.)  
2.) 
3.)   
4.) </v>
          </cell>
        </row>
        <row r="191">
          <cell r="D191" t="str">
            <v xml:space="preserve">1.)  
2.) 
3.)   
4.) </v>
          </cell>
        </row>
        <row r="192">
          <cell r="D192" t="str">
            <v xml:space="preserve">1.)  
2.) 
3.)   
4.) </v>
          </cell>
        </row>
        <row r="193">
          <cell r="D193" t="str">
            <v xml:space="preserve">1.)  
2.) 
3.)   
4.) </v>
          </cell>
        </row>
        <row r="194">
          <cell r="D194" t="str">
            <v xml:space="preserve">1.)  
2.) 
3.)   
4.) </v>
          </cell>
        </row>
        <row r="195">
          <cell r="D195" t="str">
            <v xml:space="preserve">1.)  
2.) 
3.)   
4.) </v>
          </cell>
        </row>
        <row r="196">
          <cell r="D196" t="str">
            <v xml:space="preserve">1.)  
2.) 
3.)   
4.) </v>
          </cell>
        </row>
        <row r="197">
          <cell r="D197" t="str">
            <v xml:space="preserve">1.)  
2.) 
3.)   
4.) </v>
          </cell>
        </row>
        <row r="198">
          <cell r="D198" t="str">
            <v xml:space="preserve">1.)  
2.) 
3.)   
4.) </v>
          </cell>
        </row>
        <row r="199">
          <cell r="D199" t="str">
            <v xml:space="preserve">1.)  
2.) 
3.)   
4.) </v>
          </cell>
        </row>
        <row r="200">
          <cell r="D200" t="str">
            <v xml:space="preserve">1.)  
2.) 
3.)   
4.) </v>
          </cell>
        </row>
        <row r="201">
          <cell r="D201" t="str">
            <v xml:space="preserve">1.)  
2.) 
3.)   
4.) </v>
          </cell>
        </row>
        <row r="202">
          <cell r="D202" t="str">
            <v xml:space="preserve">1.)  
2.) 
3.)   
4.) </v>
          </cell>
        </row>
        <row r="203">
          <cell r="D203" t="str">
            <v xml:space="preserve">1.)  
2.) 
3.)   
4.) </v>
          </cell>
        </row>
        <row r="204">
          <cell r="D204" t="str">
            <v xml:space="preserve">1.)  
2.) 
3.)   
4.) </v>
          </cell>
        </row>
        <row r="205">
          <cell r="D205" t="str">
            <v xml:space="preserve">1.)  
2.) 
3.)   
4.) </v>
          </cell>
        </row>
        <row r="206">
          <cell r="D206" t="str">
            <v xml:space="preserve">1.)  
2.) 
3.)   
4.) </v>
          </cell>
        </row>
        <row r="207">
          <cell r="D207" t="str">
            <v xml:space="preserve">1.)  
2.) 
3.)   
4.) </v>
          </cell>
        </row>
        <row r="208">
          <cell r="D208" t="str">
            <v xml:space="preserve">1.)  
2.) 
3.)   
4.) </v>
          </cell>
        </row>
        <row r="209">
          <cell r="D209" t="str">
            <v xml:space="preserve">1.)  
2.) 
3.)   
4.) </v>
          </cell>
        </row>
        <row r="210">
          <cell r="D210" t="str">
            <v xml:space="preserve">1.)  
2.) 
3.)   
4.) </v>
          </cell>
        </row>
        <row r="211">
          <cell r="D211" t="str">
            <v xml:space="preserve">1.)  
2.) 
3.)   
4.) </v>
          </cell>
        </row>
        <row r="212">
          <cell r="D212" t="str">
            <v xml:space="preserve">1.)  
2.) 
3.)   
4.) </v>
          </cell>
        </row>
        <row r="213">
          <cell r="D213" t="str">
            <v xml:space="preserve">1.)  
2.) 
3.)   
4.) </v>
          </cell>
        </row>
        <row r="214">
          <cell r="D214" t="str">
            <v xml:space="preserve">1.)  
2.) 
3.)   
4.) </v>
          </cell>
        </row>
        <row r="215">
          <cell r="D215" t="str">
            <v xml:space="preserve">1.)  
2.) 
3.)   
4.) </v>
          </cell>
        </row>
        <row r="216">
          <cell r="D216" t="str">
            <v xml:space="preserve">1.)  
2.) 
3.)   
4.) </v>
          </cell>
        </row>
        <row r="217">
          <cell r="D217" t="str">
            <v xml:space="preserve">1.)  
2.) 
3.)   
4.) </v>
          </cell>
        </row>
        <row r="218">
          <cell r="D218" t="str">
            <v xml:space="preserve">1.)  
2.) 
3.)   
4.) </v>
          </cell>
        </row>
        <row r="219">
          <cell r="D219" t="str">
            <v xml:space="preserve">1.)  
2.) 
3.)   
4.) </v>
          </cell>
        </row>
        <row r="220">
          <cell r="D220" t="str">
            <v xml:space="preserve">1.)  
2.) 
3.)   
4.) </v>
          </cell>
        </row>
        <row r="221">
          <cell r="D221" t="str">
            <v xml:space="preserve">1.)  
2.) 
3.)   
4.) </v>
          </cell>
        </row>
        <row r="222">
          <cell r="D222" t="str">
            <v xml:space="preserve">1.)  
2.) 
3.)   
4.) </v>
          </cell>
        </row>
        <row r="223">
          <cell r="D223" t="str">
            <v xml:space="preserve">1.)  
2.) 
3.)   
4.) </v>
          </cell>
        </row>
        <row r="224">
          <cell r="D224" t="str">
            <v xml:space="preserve">1.)  
2.) 
3.)   
4.) </v>
          </cell>
        </row>
        <row r="225">
          <cell r="D225" t="str">
            <v xml:space="preserve">1.)  
2.) 
3.)   
4.) </v>
          </cell>
        </row>
        <row r="226">
          <cell r="D226" t="str">
            <v xml:space="preserve">1.)  
2.) 
3.)   
4.) </v>
          </cell>
        </row>
        <row r="227">
          <cell r="D227" t="str">
            <v xml:space="preserve">1.)  
2.) 
3.)   
4.) </v>
          </cell>
        </row>
        <row r="228">
          <cell r="D228" t="str">
            <v xml:space="preserve">1.)  
2.) 
3.)   
4.) </v>
          </cell>
        </row>
        <row r="229">
          <cell r="D229" t="str">
            <v xml:space="preserve">1.)  
2.) 
3.)   
4.) </v>
          </cell>
        </row>
        <row r="230">
          <cell r="D230" t="str">
            <v xml:space="preserve">1.)  
2.) 
3.)   
4.) </v>
          </cell>
        </row>
        <row r="231">
          <cell r="D231" t="str">
            <v xml:space="preserve">1.)  
2.) 
3.)   
4.) </v>
          </cell>
        </row>
        <row r="232">
          <cell r="D232" t="str">
            <v xml:space="preserve">1.)  
2.) 
3.)   
4.) </v>
          </cell>
        </row>
        <row r="233">
          <cell r="D233" t="str">
            <v xml:space="preserve">1.)  
2.) 
3.)   
4.) </v>
          </cell>
        </row>
        <row r="234">
          <cell r="D234" t="str">
            <v xml:space="preserve">1.)  
2.) 
3.)   
4.) </v>
          </cell>
        </row>
        <row r="235">
          <cell r="D235" t="str">
            <v xml:space="preserve">1.)  
2.) 
3.)   
4.) </v>
          </cell>
        </row>
        <row r="236">
          <cell r="D236" t="str">
            <v xml:space="preserve">1.)  
2.) 
3.)   
4.) </v>
          </cell>
        </row>
        <row r="237">
          <cell r="D237" t="str">
            <v xml:space="preserve">1.)  
2.) 
3.)   
4.) </v>
          </cell>
        </row>
        <row r="238">
          <cell r="D238" t="str">
            <v xml:space="preserve">1.)  
2.) 
3.)   
4.) </v>
          </cell>
        </row>
        <row r="239">
          <cell r="D239" t="str">
            <v xml:space="preserve">1.)  
2.) 
3.)   
4.) </v>
          </cell>
        </row>
        <row r="240">
          <cell r="D240" t="str">
            <v xml:space="preserve">1.)  
2.) 
3.)   
4.) </v>
          </cell>
        </row>
        <row r="241">
          <cell r="D241" t="str">
            <v xml:space="preserve">1.)  
2.) 
3.)   
4.) </v>
          </cell>
        </row>
        <row r="242">
          <cell r="D242" t="str">
            <v xml:space="preserve">1.)  
2.) 
3.)   
4.) </v>
          </cell>
        </row>
        <row r="243">
          <cell r="D243" t="str">
            <v xml:space="preserve">1.)  
2.) 
3.)   
4.) </v>
          </cell>
        </row>
        <row r="244">
          <cell r="D244" t="str">
            <v xml:space="preserve">1.)  
2.) 
3.)   
4.) </v>
          </cell>
        </row>
        <row r="245">
          <cell r="D245" t="str">
            <v xml:space="preserve">1.)  
2.) 
3.)   
4.) </v>
          </cell>
        </row>
        <row r="246">
          <cell r="D246" t="str">
            <v xml:space="preserve">1.)  
2.) 
3.)   
4.) </v>
          </cell>
        </row>
        <row r="247">
          <cell r="D247" t="str">
            <v xml:space="preserve">1.)  
2.) 
3.)   
4.) </v>
          </cell>
        </row>
        <row r="248">
          <cell r="D248" t="str">
            <v xml:space="preserve">1.)  
2.) 
3.)   
4.) </v>
          </cell>
        </row>
        <row r="249">
          <cell r="D249" t="str">
            <v xml:space="preserve">1.)  
2.) 
3.)   
4.) </v>
          </cell>
        </row>
        <row r="250">
          <cell r="D250" t="str">
            <v xml:space="preserve">1.)  
2.) 
3.)   
4.) </v>
          </cell>
        </row>
        <row r="251">
          <cell r="D251" t="str">
            <v xml:space="preserve">1.)  
2.) 
3.)   
4.) </v>
          </cell>
        </row>
        <row r="252">
          <cell r="D252" t="str">
            <v xml:space="preserve">1.)  
2.) 
3.)   
4.) </v>
          </cell>
        </row>
        <row r="253">
          <cell r="D253" t="str">
            <v xml:space="preserve">1.)  
2.) 
3.)   
4.) </v>
          </cell>
        </row>
        <row r="254">
          <cell r="D254" t="str">
            <v xml:space="preserve">1.)  
2.) 
3.)   
4.) </v>
          </cell>
        </row>
        <row r="255">
          <cell r="D255" t="str">
            <v xml:space="preserve">1.)  
2.) 
3.)   
4.) </v>
          </cell>
        </row>
        <row r="256">
          <cell r="D256" t="str">
            <v xml:space="preserve">1.)  
2.) 
3.)   
4.) </v>
          </cell>
        </row>
        <row r="257">
          <cell r="D257" t="str">
            <v xml:space="preserve">1.)  
2.) 
3.)   
4.) </v>
          </cell>
        </row>
        <row r="258">
          <cell r="D258" t="str">
            <v xml:space="preserve">1.)  
2.) 
3.)   
4.) </v>
          </cell>
        </row>
        <row r="259">
          <cell r="D259" t="str">
            <v xml:space="preserve">1.)  
2.) 
3.)   
4.) </v>
          </cell>
        </row>
        <row r="260">
          <cell r="D260" t="str">
            <v xml:space="preserve">1.)  
2.) 
3.)   
4.) </v>
          </cell>
        </row>
        <row r="261">
          <cell r="D261" t="str">
            <v xml:space="preserve">1.)  
2.) 
3.)   
4.) </v>
          </cell>
        </row>
        <row r="262">
          <cell r="D262" t="str">
            <v xml:space="preserve">1.)  
2.) 
3.)   
4.) </v>
          </cell>
        </row>
        <row r="263">
          <cell r="D263" t="str">
            <v xml:space="preserve">1.)  
2.) 
3.)   
4.) </v>
          </cell>
        </row>
        <row r="264">
          <cell r="D264" t="str">
            <v xml:space="preserve">1.)  
2.) 
3.)   
4.) </v>
          </cell>
        </row>
        <row r="265">
          <cell r="D265" t="str">
            <v xml:space="preserve">1.)  
2.) 
3.)   
4.) </v>
          </cell>
        </row>
        <row r="266">
          <cell r="D266" t="str">
            <v xml:space="preserve">1.)  
2.) 
3.)   
4.) </v>
          </cell>
        </row>
        <row r="267">
          <cell r="D267" t="str">
            <v xml:space="preserve">1.)  
2.) 
3.)   
4.) </v>
          </cell>
        </row>
        <row r="268">
          <cell r="D268" t="str">
            <v xml:space="preserve">1.)  
2.) 
3.)   
4.) </v>
          </cell>
        </row>
        <row r="269">
          <cell r="D269" t="str">
            <v xml:space="preserve">1.)  
2.) 
3.)   
4.) </v>
          </cell>
        </row>
        <row r="270">
          <cell r="D270" t="str">
            <v xml:space="preserve">1.)  
2.) 
3.)   
4.) </v>
          </cell>
        </row>
        <row r="271">
          <cell r="D271" t="str">
            <v xml:space="preserve">1.)  
2.) 
3.)   
4.) </v>
          </cell>
        </row>
        <row r="272">
          <cell r="D272" t="str">
            <v xml:space="preserve">1.)  
2.) 
3.)   
4.) </v>
          </cell>
        </row>
        <row r="273">
          <cell r="D273" t="str">
            <v xml:space="preserve">1.)  
2.) 
3.)   
4.) </v>
          </cell>
        </row>
        <row r="274">
          <cell r="D274" t="str">
            <v xml:space="preserve">1.)  
2.) 
3.)   
4.) </v>
          </cell>
        </row>
        <row r="275">
          <cell r="D275" t="str">
            <v xml:space="preserve">1.)  
2.) 
3.)   
4.) </v>
          </cell>
        </row>
        <row r="276">
          <cell r="D276" t="str">
            <v xml:space="preserve">1.)  
2.) 
3.)   
4.) </v>
          </cell>
        </row>
        <row r="277">
          <cell r="D277" t="str">
            <v xml:space="preserve">1.)  
2.) 
3.)   
4.) </v>
          </cell>
        </row>
        <row r="278">
          <cell r="D278" t="str">
            <v xml:space="preserve">1.)  
2.) 
3.)   
4.) </v>
          </cell>
        </row>
        <row r="279">
          <cell r="D279" t="str">
            <v xml:space="preserve">1.)  
2.) 
3.)   
4.) </v>
          </cell>
        </row>
        <row r="280">
          <cell r="D280" t="str">
            <v xml:space="preserve">1.)  
2.) 
3.)   
4.) </v>
          </cell>
        </row>
        <row r="281">
          <cell r="D281" t="str">
            <v xml:space="preserve">1.)  
2.) 
3.)   
4.) </v>
          </cell>
        </row>
        <row r="282">
          <cell r="D282" t="str">
            <v xml:space="preserve">1.)  
2.) 
3.)   
4.) </v>
          </cell>
        </row>
        <row r="283">
          <cell r="D283" t="str">
            <v xml:space="preserve">1.)  
2.) 
3.)   
4.) </v>
          </cell>
        </row>
        <row r="284">
          <cell r="D284" t="str">
            <v xml:space="preserve">1.)  
2.) 
3.)   
4.) </v>
          </cell>
        </row>
        <row r="285">
          <cell r="D285" t="str">
            <v xml:space="preserve">1.)  
2.) 
3.)   
4.) </v>
          </cell>
        </row>
        <row r="286">
          <cell r="D286" t="str">
            <v xml:space="preserve">1.)  
2.) 
3.)   
4.) </v>
          </cell>
        </row>
        <row r="287">
          <cell r="D287" t="str">
            <v xml:space="preserve">1.)  
2.) 
3.)   
4.) </v>
          </cell>
        </row>
        <row r="288">
          <cell r="D288" t="str">
            <v xml:space="preserve">1.)  
2.) 
3.)   
4.) </v>
          </cell>
        </row>
      </sheetData>
      <sheetData sheetId="2">
        <row r="3">
          <cell r="F3" t="str">
            <v>CAPITAL INVESTMENT</v>
          </cell>
        </row>
        <row r="4">
          <cell r="F4" t="str">
            <v>Purchase/Acquisition of Land</v>
          </cell>
          <cell r="G4">
            <v>23010101</v>
          </cell>
        </row>
        <row r="5">
          <cell r="F5" t="str">
            <v>Purchase of Office Buildings</v>
          </cell>
          <cell r="G5">
            <v>23010102</v>
          </cell>
        </row>
        <row r="6">
          <cell r="F6" t="str">
            <v>Purchase of Residential Buildings</v>
          </cell>
          <cell r="G6">
            <v>23010103</v>
          </cell>
        </row>
        <row r="7">
          <cell r="F7" t="str">
            <v>Purchase of Motor Cycles</v>
          </cell>
          <cell r="G7">
            <v>23010104</v>
          </cell>
        </row>
        <row r="8">
          <cell r="F8" t="str">
            <v>Purchase of Motor Vehicles</v>
          </cell>
          <cell r="G8">
            <v>23010105</v>
          </cell>
        </row>
        <row r="9">
          <cell r="F9" t="str">
            <v>Purchase of Vans</v>
          </cell>
          <cell r="G9">
            <v>23010106</v>
          </cell>
        </row>
        <row r="10">
          <cell r="F10" t="str">
            <v>Purchase of Trucks</v>
          </cell>
          <cell r="G10">
            <v>23010107</v>
          </cell>
        </row>
        <row r="11">
          <cell r="F11" t="str">
            <v>Purchase of Buses</v>
          </cell>
          <cell r="G11">
            <v>23010108</v>
          </cell>
        </row>
        <row r="12">
          <cell r="F12" t="str">
            <v>Purchase of Sea Boats</v>
          </cell>
          <cell r="G12">
            <v>23010109</v>
          </cell>
        </row>
        <row r="13">
          <cell r="F13" t="str">
            <v>Purchase of Ships</v>
          </cell>
          <cell r="G13">
            <v>23010110</v>
          </cell>
        </row>
        <row r="14">
          <cell r="F14" t="str">
            <v>Purchase of Trains</v>
          </cell>
          <cell r="G14">
            <v>23010111</v>
          </cell>
        </row>
        <row r="15">
          <cell r="F15" t="str">
            <v>Purchase of Office Furniture and Fittings</v>
          </cell>
          <cell r="G15">
            <v>23010112</v>
          </cell>
        </row>
        <row r="16">
          <cell r="F16" t="str">
            <v>Purchase of Computers</v>
          </cell>
          <cell r="G16">
            <v>23010113</v>
          </cell>
        </row>
        <row r="17">
          <cell r="F17" t="str">
            <v>Purchase of Computer Printers</v>
          </cell>
          <cell r="G17">
            <v>23010114</v>
          </cell>
        </row>
        <row r="18">
          <cell r="F18" t="str">
            <v>Purchase of Photocopying Machines</v>
          </cell>
          <cell r="G18">
            <v>23010115</v>
          </cell>
        </row>
        <row r="19">
          <cell r="F19" t="str">
            <v>Purchase of Typewriter</v>
          </cell>
          <cell r="G19">
            <v>23010116</v>
          </cell>
        </row>
        <row r="20">
          <cell r="F20" t="str">
            <v>Purchase of  Shredding Machines</v>
          </cell>
          <cell r="G20">
            <v>23010117</v>
          </cell>
        </row>
        <row r="21">
          <cell r="F21" t="str">
            <v>Purchase of Scanners</v>
          </cell>
          <cell r="G21">
            <v>23010118</v>
          </cell>
        </row>
        <row r="22">
          <cell r="F22" t="str">
            <v>Purchase of Powers Generating Set</v>
          </cell>
          <cell r="G22">
            <v>23010119</v>
          </cell>
        </row>
        <row r="23">
          <cell r="F23" t="str">
            <v>Purchase of Canteen/Kitchen Equipment</v>
          </cell>
          <cell r="G23">
            <v>23010120</v>
          </cell>
        </row>
        <row r="24">
          <cell r="F24" t="str">
            <v>Purchase of Residential Furniture</v>
          </cell>
          <cell r="G24">
            <v>23010121</v>
          </cell>
        </row>
        <row r="25">
          <cell r="F25" t="str">
            <v>Purchase of Health/Medical Equipment</v>
          </cell>
          <cell r="G25">
            <v>23010122</v>
          </cell>
        </row>
        <row r="26">
          <cell r="F26" t="str">
            <v>Purchase of Fire Fighting Equipment</v>
          </cell>
          <cell r="G26">
            <v>23010123</v>
          </cell>
        </row>
        <row r="27">
          <cell r="F27" t="str">
            <v>Purchase of Teaching/Learning Aid Equipment</v>
          </cell>
          <cell r="G27">
            <v>23010124</v>
          </cell>
        </row>
        <row r="28">
          <cell r="F28" t="str">
            <v>Purchase of Library Books &amp; Equipment</v>
          </cell>
          <cell r="G28">
            <v>23010125</v>
          </cell>
        </row>
        <row r="29">
          <cell r="F29" t="str">
            <v>Purchase of Sporting/Games Equipment</v>
          </cell>
          <cell r="G29">
            <v>23010126</v>
          </cell>
        </row>
        <row r="30">
          <cell r="F30" t="str">
            <v>Purchase of  Agriculture Equipment</v>
          </cell>
          <cell r="G30">
            <v>23010127</v>
          </cell>
        </row>
        <row r="31">
          <cell r="F31" t="str">
            <v>Purchase of Security Equipment</v>
          </cell>
          <cell r="G31">
            <v>23010128</v>
          </cell>
        </row>
        <row r="32">
          <cell r="F32" t="str">
            <v>Purchase of Industrial Equipment</v>
          </cell>
          <cell r="G32">
            <v>23010129</v>
          </cell>
        </row>
        <row r="33">
          <cell r="F33" t="str">
            <v>Purchase of Recreational Facilities</v>
          </cell>
          <cell r="G33">
            <v>23010130</v>
          </cell>
        </row>
        <row r="34">
          <cell r="F34" t="str">
            <v>Purchase of Air Navigational Equipment</v>
          </cell>
          <cell r="G34">
            <v>23010131</v>
          </cell>
        </row>
        <row r="35">
          <cell r="F35" t="str">
            <v>Purchase of Security Equipment</v>
          </cell>
          <cell r="G35">
            <v>23010132</v>
          </cell>
        </row>
        <row r="36">
          <cell r="F36" t="str">
            <v>Purchase of Surveying Equipment</v>
          </cell>
          <cell r="G36">
            <v>23010133</v>
          </cell>
        </row>
        <row r="37">
          <cell r="F37" t="str">
            <v>Purchase of Diving Equipment</v>
          </cell>
          <cell r="G37">
            <v>23010134</v>
          </cell>
        </row>
        <row r="38">
          <cell r="F38" t="str">
            <v>Purchase of Ship Spare/Maintenance</v>
          </cell>
          <cell r="G38">
            <v>23010137</v>
          </cell>
        </row>
        <row r="39">
          <cell r="F39" t="str">
            <v>Purchase of Aero Spares/Maintenance</v>
          </cell>
          <cell r="G39">
            <v>23010138</v>
          </cell>
        </row>
        <row r="40">
          <cell r="F40" t="str">
            <v>Construction/Provision of Office Buildings</v>
          </cell>
          <cell r="G40">
            <v>23020101</v>
          </cell>
        </row>
        <row r="41">
          <cell r="F41" t="str">
            <v>Construction/Provision of Residential Buildings</v>
          </cell>
          <cell r="G41">
            <v>23020102</v>
          </cell>
        </row>
        <row r="42">
          <cell r="F42" t="str">
            <v>Construction/Provision of Electricity</v>
          </cell>
          <cell r="G42">
            <v>23020103</v>
          </cell>
        </row>
        <row r="43">
          <cell r="F43" t="str">
            <v>Construction/Provision of Housing</v>
          </cell>
          <cell r="G43">
            <v>23020104</v>
          </cell>
        </row>
        <row r="44">
          <cell r="F44" t="str">
            <v>Construction/Provision of Water Facilities</v>
          </cell>
          <cell r="G44">
            <v>23020105</v>
          </cell>
        </row>
        <row r="45">
          <cell r="F45" t="str">
            <v>Construction/Provision of Hospitals/Health Centres</v>
          </cell>
          <cell r="G45">
            <v>23020106</v>
          </cell>
        </row>
        <row r="46">
          <cell r="F46" t="str">
            <v>Construction/Provision of Public Schools</v>
          </cell>
          <cell r="G46">
            <v>23020107</v>
          </cell>
        </row>
        <row r="47">
          <cell r="F47" t="str">
            <v>Construction/Provision of Fire Fighting Stations</v>
          </cell>
          <cell r="G47">
            <v>23020110</v>
          </cell>
        </row>
        <row r="48">
          <cell r="F48" t="str">
            <v>Construction/Provision of Libraries</v>
          </cell>
          <cell r="G48">
            <v>23020111</v>
          </cell>
        </row>
        <row r="49">
          <cell r="F49" t="str">
            <v>Construction/Provision of Sporting Facilities</v>
          </cell>
          <cell r="G49">
            <v>23020112</v>
          </cell>
        </row>
        <row r="50">
          <cell r="F50" t="str">
            <v>Construction/Provision of Agricultural Facilities</v>
          </cell>
          <cell r="G50">
            <v>23020113</v>
          </cell>
        </row>
        <row r="51">
          <cell r="F51" t="str">
            <v>Construction/Provision of Roads</v>
          </cell>
          <cell r="G51">
            <v>23020114</v>
          </cell>
        </row>
        <row r="52">
          <cell r="F52" t="str">
            <v>Construction/Provision of Railways</v>
          </cell>
          <cell r="G52">
            <v>23020115</v>
          </cell>
        </row>
        <row r="53">
          <cell r="F53" t="str">
            <v>Construction/Provision of Water ways</v>
          </cell>
          <cell r="G53">
            <v>23020116</v>
          </cell>
        </row>
        <row r="54">
          <cell r="F54" t="str">
            <v>Construction/Provision of Airport/Aerodromes</v>
          </cell>
          <cell r="G54">
            <v>23020117</v>
          </cell>
        </row>
        <row r="55">
          <cell r="F55" t="str">
            <v>Construction/Provision of Infrastructure</v>
          </cell>
          <cell r="G55">
            <v>23020118</v>
          </cell>
        </row>
        <row r="56">
          <cell r="F56" t="str">
            <v>Construction/Provision of Recreational Facilities</v>
          </cell>
          <cell r="G56">
            <v>23020119</v>
          </cell>
        </row>
        <row r="57">
          <cell r="F57" t="str">
            <v>Construction of Boundary Pillars/Right of Ways</v>
          </cell>
          <cell r="G57">
            <v>23020122</v>
          </cell>
        </row>
        <row r="58">
          <cell r="F58" t="str">
            <v>Construction of Traffic/Street Lights</v>
          </cell>
          <cell r="G58">
            <v>23020123</v>
          </cell>
        </row>
        <row r="59">
          <cell r="F59" t="str">
            <v>Construction of Markets/Parks</v>
          </cell>
          <cell r="G59">
            <v>23020124</v>
          </cell>
        </row>
        <row r="60">
          <cell r="F60" t="str">
            <v>Construction of Power Generating Plants</v>
          </cell>
          <cell r="G60">
            <v>23020125</v>
          </cell>
        </row>
        <row r="61">
          <cell r="F61" t="str">
            <v>Construction/Provision of Cemeteries</v>
          </cell>
          <cell r="G61">
            <v>23020126</v>
          </cell>
        </row>
        <row r="62">
          <cell r="F62" t="str">
            <v>Construction of ICT Infrastructures</v>
          </cell>
          <cell r="G62">
            <v>23020127</v>
          </cell>
        </row>
        <row r="63">
          <cell r="F63" t="str">
            <v>Rehabilitation/Repairs of Residential Building</v>
          </cell>
          <cell r="G63">
            <v>23030101</v>
          </cell>
        </row>
        <row r="64">
          <cell r="F64" t="str">
            <v>Rehabilitation/Repairs - Electricity</v>
          </cell>
          <cell r="G64">
            <v>23030102</v>
          </cell>
        </row>
        <row r="65">
          <cell r="F65" t="str">
            <v>Rehabilitation/Repairs - Housing</v>
          </cell>
          <cell r="G65">
            <v>23030103</v>
          </cell>
        </row>
        <row r="66">
          <cell r="F66" t="str">
            <v>Rehabilitation/Repairs - Water Facilities</v>
          </cell>
          <cell r="G66">
            <v>23030104</v>
          </cell>
        </row>
        <row r="67">
          <cell r="F67" t="str">
            <v>Rehabilitation/Repairs - Hospital/Health Centers</v>
          </cell>
          <cell r="G67">
            <v>23030105</v>
          </cell>
        </row>
        <row r="68">
          <cell r="F68" t="str">
            <v>Rehabilitation/Repairs - Public Schools</v>
          </cell>
          <cell r="G68">
            <v>23030106</v>
          </cell>
        </row>
        <row r="69">
          <cell r="F69" t="str">
            <v>Rehabilitation/Repairs - Fire Fighting Stations</v>
          </cell>
          <cell r="G69">
            <v>23030109</v>
          </cell>
        </row>
        <row r="70">
          <cell r="F70" t="str">
            <v>Rehabilitation/Repairs - Libraries</v>
          </cell>
          <cell r="G70">
            <v>23030110</v>
          </cell>
        </row>
        <row r="71">
          <cell r="F71" t="str">
            <v>Rehabilitation/Repairs - Sporting Facilities</v>
          </cell>
          <cell r="G71">
            <v>23030111</v>
          </cell>
        </row>
        <row r="72">
          <cell r="F72" t="str">
            <v>Rehabilitation/Repairs - Agricultural Facilities</v>
          </cell>
          <cell r="G72">
            <v>23030112</v>
          </cell>
        </row>
        <row r="73">
          <cell r="F73" t="str">
            <v>Rehabilitation/Repairs - Roads</v>
          </cell>
          <cell r="G73">
            <v>23030113</v>
          </cell>
        </row>
        <row r="74">
          <cell r="F74" t="str">
            <v>Rehabilitation/Repairs - Railways</v>
          </cell>
          <cell r="G74">
            <v>23030114</v>
          </cell>
        </row>
        <row r="75">
          <cell r="F75" t="str">
            <v>Rehabilitation/Repairs - Waterway</v>
          </cell>
          <cell r="G75">
            <v>23030115</v>
          </cell>
        </row>
        <row r="76">
          <cell r="F76" t="str">
            <v>Rehabilitation/Repairs - Airport/Aerodromes</v>
          </cell>
          <cell r="G76">
            <v>23030116</v>
          </cell>
        </row>
        <row r="77">
          <cell r="F77" t="str">
            <v>Rehabilitation/Repairs - Recreational Facilities</v>
          </cell>
          <cell r="G77">
            <v>23030118</v>
          </cell>
        </row>
        <row r="78">
          <cell r="F78" t="str">
            <v>Rehabilitation/Repairs - Air Navigational Equipment</v>
          </cell>
          <cell r="G78">
            <v>23030119</v>
          </cell>
        </row>
        <row r="79">
          <cell r="F79" t="str">
            <v>Rehabilitation/Repairs of Office Buildings</v>
          </cell>
          <cell r="G79">
            <v>23030121</v>
          </cell>
        </row>
        <row r="80">
          <cell r="F80" t="str">
            <v>Rehabilitation/Repairs of Boundaries</v>
          </cell>
          <cell r="G80">
            <v>23030122</v>
          </cell>
        </row>
        <row r="81">
          <cell r="F81" t="str">
            <v>Rehabilitation/Repairs - Traffic/Street Lights</v>
          </cell>
          <cell r="G81">
            <v>23030123</v>
          </cell>
        </row>
        <row r="82">
          <cell r="F82" t="str">
            <v>Rehabilitation/Repairs - Markets/Parks</v>
          </cell>
          <cell r="G82">
            <v>23030124</v>
          </cell>
        </row>
        <row r="83">
          <cell r="F83" t="str">
            <v>Rehabilitation/Repairs - Power Generating Plants</v>
          </cell>
          <cell r="G83">
            <v>23030125</v>
          </cell>
        </row>
        <row r="84">
          <cell r="F84" t="str">
            <v>Rehabilitation/Repairs of Cemeteries</v>
          </cell>
          <cell r="G84">
            <v>23030126</v>
          </cell>
        </row>
        <row r="85">
          <cell r="F85" t="str">
            <v>Rehabilitation/Repairs - ICT Infrastructures</v>
          </cell>
          <cell r="G85">
            <v>23030127</v>
          </cell>
        </row>
        <row r="86">
          <cell r="F86" t="str">
            <v>Tree Planting</v>
          </cell>
          <cell r="G86">
            <v>23040101</v>
          </cell>
        </row>
        <row r="87">
          <cell r="F87" t="str">
            <v>Erosion &amp; Flood Control</v>
          </cell>
          <cell r="G87">
            <v>23040102</v>
          </cell>
        </row>
        <row r="88">
          <cell r="F88" t="str">
            <v>Wildlife Conservation</v>
          </cell>
          <cell r="G88">
            <v>23040103</v>
          </cell>
        </row>
        <row r="89">
          <cell r="F89" t="str">
            <v>Industrial Pollution Preservation &amp; Control</v>
          </cell>
          <cell r="G89">
            <v>23040104</v>
          </cell>
        </row>
        <row r="90">
          <cell r="F90" t="str">
            <v>Water Pollution Prevention &amp; Control</v>
          </cell>
          <cell r="G90">
            <v>23040105</v>
          </cell>
        </row>
        <row r="91">
          <cell r="F91" t="str">
            <v>Research and Development</v>
          </cell>
          <cell r="G91">
            <v>23050101</v>
          </cell>
        </row>
        <row r="92">
          <cell r="F92" t="str">
            <v>Computer Software Acquisition</v>
          </cell>
          <cell r="G92">
            <v>23050102</v>
          </cell>
        </row>
        <row r="93">
          <cell r="F93" t="str">
            <v>Monitoring and Evaluation</v>
          </cell>
          <cell r="G93">
            <v>23050103</v>
          </cell>
        </row>
        <row r="94">
          <cell r="F94" t="str">
            <v>Anniversaries/Celebration</v>
          </cell>
          <cell r="G94">
            <v>23050104</v>
          </cell>
        </row>
        <row r="95">
          <cell r="F95" t="str">
            <v>Margin for Increase in Costs</v>
          </cell>
          <cell r="G95">
            <v>23050107</v>
          </cell>
        </row>
      </sheetData>
      <sheetData sheetId="3">
        <row r="1">
          <cell r="A1" t="str">
            <v>STEP Four</v>
          </cell>
        </row>
        <row r="5">
          <cell r="A5" t="str">
            <v>Provision of 250,000kg of quality seeds each of six commodities of comparative advantage (Anchor Borrowers Scheme- Central Bank of Nigeria)</v>
          </cell>
        </row>
        <row r="7">
          <cell r="A7" t="str">
            <v>Multi-Year Budget Sub Activities</v>
          </cell>
        </row>
        <row r="8">
          <cell r="A8" t="str">
            <v xml:space="preserve"> Market Survey analysis</v>
          </cell>
        </row>
        <row r="9">
          <cell r="A9" t="str">
            <v>Quality seeds Procurements</v>
          </cell>
        </row>
        <row r="15">
          <cell r="A15" t="str">
            <v xml:space="preserve">Distribution of the seeds </v>
          </cell>
        </row>
        <row r="19">
          <cell r="A19" t="str">
            <v>Awareness Campagne</v>
          </cell>
        </row>
        <row r="26">
          <cell r="A26" t="str">
            <v>1.1.1 Sub total Year One</v>
          </cell>
        </row>
        <row r="33">
          <cell r="A33" t="str">
            <v>Collaboration with Leventis Foundation (Agric School)</v>
          </cell>
        </row>
        <row r="35">
          <cell r="A35" t="str">
            <v>Multi-Year Budget Sub Activities</v>
          </cell>
        </row>
        <row r="36">
          <cell r="A36" t="str">
            <v xml:space="preserve">Provide Financial Support to Leventis Foundation (Agric School) </v>
          </cell>
        </row>
        <row r="57">
          <cell r="A57" t="str">
            <v>1.2.1 Sub total Year One</v>
          </cell>
        </row>
        <row r="64">
          <cell r="A64" t="str">
            <v>Fertilizer Operation</v>
          </cell>
        </row>
        <row r="66">
          <cell r="A66" t="str">
            <v>Multi-Year Budget Sub Activities</v>
          </cell>
        </row>
        <row r="67">
          <cell r="A67" t="str">
            <v>Fertilizer Storage and Distribution</v>
          </cell>
        </row>
        <row r="72">
          <cell r="A72" t="str">
            <v>1.2.2 Sub total Year One</v>
          </cell>
        </row>
        <row r="79">
          <cell r="A79" t="str">
            <v xml:space="preserve">Continuous support to Agricultural Research Institutions </v>
          </cell>
        </row>
        <row r="81">
          <cell r="A81" t="str">
            <v>Multi-Year Budget Sub Activities</v>
          </cell>
        </row>
        <row r="82">
          <cell r="A82" t="str">
            <v xml:space="preserve">Institution Financial support </v>
          </cell>
        </row>
        <row r="91">
          <cell r="A91" t="str">
            <v>1.2.3 Sub total Year One</v>
          </cell>
        </row>
        <row r="98">
          <cell r="A98" t="str">
            <v>Participation in the National Council on Agriculture and Rural Development</v>
          </cell>
        </row>
        <row r="100">
          <cell r="A100" t="str">
            <v>Multi-Year Budget Sub Activities</v>
          </cell>
        </row>
        <row r="101">
          <cell r="A101" t="str">
            <v xml:space="preserve"> Attend annual national council on agriculture</v>
          </cell>
        </row>
        <row r="113">
          <cell r="A113" t="str">
            <v>1.2.4 Sub total Year One</v>
          </cell>
        </row>
        <row r="121">
          <cell r="A121" t="str">
            <v>Staff Capacity enhancement</v>
          </cell>
        </row>
        <row r="123">
          <cell r="A123" t="str">
            <v>Multi-Year Budget Sub Activities</v>
          </cell>
        </row>
        <row r="124">
          <cell r="A124" t="str">
            <v>Staff Capacity Development</v>
          </cell>
        </row>
        <row r="126">
          <cell r="A126" t="str">
            <v>In House retreat and team bonding</v>
          </cell>
        </row>
        <row r="127">
          <cell r="A127" t="str">
            <v>1. (Directors/DD)</v>
          </cell>
        </row>
        <row r="134">
          <cell r="A134" t="str">
            <v>2. Selected Staff</v>
          </cell>
        </row>
        <row r="142">
          <cell r="A142" t="str">
            <v xml:space="preserve"> 2017 SIP Review Retreat</v>
          </cell>
        </row>
        <row r="143">
          <cell r="A143" t="str">
            <v>1. Stearing and Technical Section</v>
          </cell>
        </row>
        <row r="146">
          <cell r="A146" t="str">
            <v>2. Stake holder two days Input Workshop</v>
          </cell>
        </row>
        <row r="156">
          <cell r="A156" t="str">
            <v>3. SIP two days  Report Writing Retreat</v>
          </cell>
        </row>
        <row r="162">
          <cell r="A162" t="str">
            <v>2017-2019 MYB Preparation</v>
          </cell>
        </row>
        <row r="163">
          <cell r="A163" t="str">
            <v>1. Stearing and Technical Section</v>
          </cell>
        </row>
        <row r="167">
          <cell r="A167" t="str">
            <v>2. MYB Five days  Report Writing Retreat</v>
          </cell>
        </row>
        <row r="174">
          <cell r="A174" t="str">
            <v>Competitive Service Delievary Monthly Staff Recognition Reward</v>
          </cell>
        </row>
        <row r="197">
          <cell r="A197" t="str">
            <v>1.2.5 Sub total Year One</v>
          </cell>
        </row>
        <row r="204">
          <cell r="A204" t="str">
            <v>Effective administrative operation</v>
          </cell>
        </row>
        <row r="206">
          <cell r="A206" t="str">
            <v>Multi-Year Budget Sub Activities</v>
          </cell>
        </row>
        <row r="207">
          <cell r="A207" t="str">
            <v>Conduct In House IT Workshop for the PAs, Registries, Technical staff</v>
          </cell>
        </row>
        <row r="215">
          <cell r="A215" t="str">
            <v xml:space="preserve">Reorganisation of Directorates/registeries </v>
          </cell>
        </row>
        <row r="220">
          <cell r="A220" t="str">
            <v>Purchase of stationary/Printing of the official Document</v>
          </cell>
        </row>
        <row r="237">
          <cell r="A237" t="str">
            <v xml:space="preserve"> Office Routing Maintanance  </v>
          </cell>
        </row>
        <row r="253">
          <cell r="A253" t="str">
            <v>1.2.6 Sub total Year One</v>
          </cell>
        </row>
        <row r="260">
          <cell r="A260" t="str">
            <v>Improve Service delivery</v>
          </cell>
        </row>
        <row r="262">
          <cell r="A262" t="str">
            <v>Multi-Year Budget Sub Activities</v>
          </cell>
        </row>
        <row r="263">
          <cell r="A263" t="str">
            <v>Staff capacity development on effective Service Delivery</v>
          </cell>
        </row>
        <row r="265">
          <cell r="A265" t="str">
            <v>Monthly/Daily Routing Payment  Activities</v>
          </cell>
        </row>
        <row r="272">
          <cell r="A272" t="str">
            <v>Conduct Routing Official Meeting</v>
          </cell>
        </row>
        <row r="277">
          <cell r="A277" t="str">
            <v>Media Interaction</v>
          </cell>
        </row>
        <row r="285">
          <cell r="A285" t="str">
            <v>1.2.7 Sub total Year One</v>
          </cell>
        </row>
        <row r="292">
          <cell r="A292" t="str">
            <v>Advocacy and Sensitization to the Public</v>
          </cell>
        </row>
        <row r="294">
          <cell r="A294" t="str">
            <v>Multi-Year Budget Sub Activities</v>
          </cell>
        </row>
        <row r="295">
          <cell r="A295" t="str">
            <v>Visits To LGA and traditional rulers</v>
          </cell>
        </row>
        <row r="296">
          <cell r="A296" t="str">
            <v>Printing of Flyiers</v>
          </cell>
        </row>
        <row r="297">
          <cell r="A297" t="str">
            <v xml:space="preserve">Annoucement </v>
          </cell>
        </row>
        <row r="298">
          <cell r="A298" t="str">
            <v>Media Jingles</v>
          </cell>
        </row>
        <row r="299">
          <cell r="A299" t="str">
            <v>Radio Charts</v>
          </cell>
        </row>
        <row r="300">
          <cell r="A300" t="str">
            <v>Demonstration</v>
          </cell>
        </row>
        <row r="303">
          <cell r="A303" t="str">
            <v>1.2.8 Sub total Year One</v>
          </cell>
        </row>
        <row r="310">
          <cell r="A310" t="str">
            <v>Shelterbelt Management</v>
          </cell>
        </row>
        <row r="312">
          <cell r="A312" t="str">
            <v>Multi-Year Budget Sub Activities</v>
          </cell>
        </row>
        <row r="313">
          <cell r="A313" t="str">
            <v>Nuseries Preparation/Activities</v>
          </cell>
        </row>
        <row r="357">
          <cell r="A357" t="str">
            <v>Forest Management Reserve</v>
          </cell>
        </row>
        <row r="369">
          <cell r="A369" t="str">
            <v>Watershed Management</v>
          </cell>
        </row>
        <row r="374">
          <cell r="A374" t="str">
            <v>Establish Woodlot/Orchard Plantation in 5 LGAs (Ikara to B/Gwari)</v>
          </cell>
        </row>
        <row r="401">
          <cell r="A401" t="str">
            <v>1.2.9 Sub total Year One</v>
          </cell>
        </row>
        <row r="409">
          <cell r="A409" t="str">
            <v>Domicile GAP/GHP through Parternership/consultant</v>
          </cell>
        </row>
        <row r="411">
          <cell r="A411" t="str">
            <v>Multi-Year Budget Sub Activities</v>
          </cell>
        </row>
        <row r="412">
          <cell r="A412" t="str">
            <v>GAP Analysis for 3 centres</v>
          </cell>
        </row>
        <row r="413">
          <cell r="A413" t="str">
            <v>Capacity training on Good Agricultural Practices</v>
          </cell>
        </row>
        <row r="416">
          <cell r="A416" t="str">
            <v>Consultancy</v>
          </cell>
        </row>
        <row r="421">
          <cell r="A421" t="str">
            <v>Monitoring</v>
          </cell>
        </row>
        <row r="424">
          <cell r="A424" t="str">
            <v>1.3.1 Sub total Year One</v>
          </cell>
        </row>
        <row r="431">
          <cell r="A431" t="str">
            <v>Renovation of Engineering outstation/ Procurement of Agricultural Equipment</v>
          </cell>
        </row>
        <row r="433">
          <cell r="A433" t="str">
            <v>Multi-Year Budget Sub Activities</v>
          </cell>
        </row>
        <row r="434">
          <cell r="A434" t="str">
            <v>Preliminary Activities for the Rehabilitation  of Engineering out station structures</v>
          </cell>
        </row>
        <row r="437">
          <cell r="A437" t="str">
            <v>Rehabilitation of Engineering out station structures</v>
          </cell>
        </row>
        <row r="439">
          <cell r="A439" t="str">
            <v>Purchase of mechanical workshop equipments</v>
          </cell>
        </row>
        <row r="446">
          <cell r="A446" t="str">
            <v>Purchase and Distribution of Handtiller machine</v>
          </cell>
        </row>
        <row r="447">
          <cell r="A447" t="str">
            <v>Sensitization/Distribution of the Handtiller Machines</v>
          </cell>
        </row>
        <row r="457">
          <cell r="A457" t="str">
            <v>1.3.2 Sub total Year One</v>
          </cell>
        </row>
        <row r="464">
          <cell r="A464" t="str">
            <v>Renovation of Engineering outstation/ Procurement of Agricultural Equipment</v>
          </cell>
        </row>
        <row r="466">
          <cell r="A466" t="str">
            <v>Multi-Year Budget Sub Activities</v>
          </cell>
        </row>
        <row r="475">
          <cell r="A475" t="str">
            <v>1.3.2 Sub total Year One</v>
          </cell>
        </row>
        <row r="482">
          <cell r="A482" t="str">
            <v>Establishment of Meat Regulatory Agency</v>
          </cell>
        </row>
        <row r="484">
          <cell r="A484" t="str">
            <v>Multi-Year Budget Sub Activities</v>
          </cell>
        </row>
        <row r="485">
          <cell r="A485" t="str">
            <v>Construction of office building</v>
          </cell>
        </row>
        <row r="487">
          <cell r="A487" t="str">
            <v>Purhase of Office Equipment</v>
          </cell>
        </row>
        <row r="489">
          <cell r="A489" t="str">
            <v>Purchase of quality control Equipment</v>
          </cell>
        </row>
        <row r="490">
          <cell r="A490" t="str">
            <v>Capacity Building</v>
          </cell>
        </row>
        <row r="493">
          <cell r="A493" t="str">
            <v>1.3.4 Sub total Year One</v>
          </cell>
        </row>
        <row r="500">
          <cell r="A500" t="str">
            <v>Formation of Public Health Emergency Response Committee</v>
          </cell>
        </row>
        <row r="502">
          <cell r="A502" t="str">
            <v>Multi-Year Budget Sub Activities</v>
          </cell>
        </row>
        <row r="503">
          <cell r="A503" t="str">
            <v>Office accomodation</v>
          </cell>
        </row>
        <row r="506">
          <cell r="A506" t="str">
            <v>Response to Outbreaks</v>
          </cell>
        </row>
        <row r="511">
          <cell r="A511" t="str">
            <v>1.3.5 Sub total Year One</v>
          </cell>
        </row>
        <row r="519">
          <cell r="A519" t="str">
            <v>Purchase of 3 No cold storage facility (solar energy)</v>
          </cell>
        </row>
        <row r="521">
          <cell r="A521" t="str">
            <v>Multi-Year Budget Sub Activities</v>
          </cell>
        </row>
        <row r="522">
          <cell r="A522" t="str">
            <v>Preliminary Activities of Solar Powered Cold Storage facility</v>
          </cell>
        </row>
        <row r="523">
          <cell r="A523" t="str">
            <v>Purchase and Installation of Solar Powered Cold Storage facility</v>
          </cell>
        </row>
        <row r="528">
          <cell r="A528" t="str">
            <v>Training/Site Demonstration of Solar Powered Cold Storage facility</v>
          </cell>
        </row>
        <row r="542">
          <cell r="A542" t="str">
            <v>1.3.6 Sub total Year One</v>
          </cell>
        </row>
        <row r="549">
          <cell r="A549" t="str">
            <v>PPP with Ollam in the Poultry Value Chain</v>
          </cell>
        </row>
        <row r="551">
          <cell r="A551" t="str">
            <v>Multi-Year Budget Sub Activities</v>
          </cell>
        </row>
        <row r="552">
          <cell r="A552" t="str">
            <v>Formation of poultry Farmer's clusters</v>
          </cell>
        </row>
        <row r="553">
          <cell r="A553" t="str">
            <v>Capacity Building</v>
          </cell>
        </row>
        <row r="555">
          <cell r="A555" t="str">
            <v>Supervision</v>
          </cell>
        </row>
        <row r="556">
          <cell r="A556" t="str">
            <v>Logistic</v>
          </cell>
        </row>
        <row r="560">
          <cell r="A560" t="str">
            <v>1.3.7 Sub total Year One</v>
          </cell>
        </row>
        <row r="567">
          <cell r="A567" t="str">
            <v>Strengthen the School of Livestock Training (PPU) Kawo Kaduna</v>
          </cell>
        </row>
        <row r="569">
          <cell r="A569" t="str">
            <v>Multi-Year Budget Sub Activities</v>
          </cell>
        </row>
        <row r="570">
          <cell r="A570" t="str">
            <v xml:space="preserve"> Construction of buildings </v>
          </cell>
        </row>
        <row r="587">
          <cell r="A587" t="str">
            <v>1.3.8 Sub total Year One</v>
          </cell>
        </row>
        <row r="594">
          <cell r="A594" t="str">
            <v>Improvement of indigenous breeds through Cross Breeding</v>
          </cell>
        </row>
        <row r="596">
          <cell r="A596" t="str">
            <v>Multi-Year Budget Sub Activities</v>
          </cell>
        </row>
        <row r="597">
          <cell r="A597" t="str">
            <v>Purchase of Artificial Insemination equipment</v>
          </cell>
        </row>
        <row r="603">
          <cell r="A603" t="str">
            <v>Purchase of Improved Semen</v>
          </cell>
        </row>
        <row r="606">
          <cell r="A606" t="str">
            <v xml:space="preserve">Training of Inseminators </v>
          </cell>
        </row>
        <row r="610">
          <cell r="A610" t="str">
            <v>Sensitization and enlightement</v>
          </cell>
        </row>
        <row r="615">
          <cell r="A615" t="str">
            <v>1.3.9 Sub total Year One</v>
          </cell>
        </row>
        <row r="622">
          <cell r="A622" t="str">
            <v xml:space="preserve">Provide financial support to commodity value Chain Development </v>
          </cell>
        </row>
        <row r="624">
          <cell r="A624" t="str">
            <v>Multi-Year Budget Sub Activities</v>
          </cell>
        </row>
        <row r="625">
          <cell r="A625" t="str">
            <v>sensitization</v>
          </cell>
        </row>
        <row r="627">
          <cell r="A627" t="str">
            <v>Agricultural loan to farmers</v>
          </cell>
        </row>
        <row r="628">
          <cell r="A628" t="str">
            <v>Price stabilization for farmers</v>
          </cell>
        </row>
        <row r="629">
          <cell r="A629" t="str">
            <v>Monitoring and Evaluation</v>
          </cell>
        </row>
        <row r="633">
          <cell r="A633" t="str">
            <v>1.4.1 Sub total Year One</v>
          </cell>
        </row>
        <row r="641">
          <cell r="A641" t="str">
            <v>Provision of 25% Insurance Premium Subsidy toFarmers.</v>
          </cell>
        </row>
        <row r="643">
          <cell r="A643" t="str">
            <v>Multi-Year Budget Sub Activities</v>
          </cell>
        </row>
        <row r="644">
          <cell r="A644" t="str">
            <v>Provision of 25% Insurance Premium Subsidy toFarmers.</v>
          </cell>
        </row>
        <row r="652">
          <cell r="A652" t="str">
            <v>1.4.2 Sub total Year One</v>
          </cell>
        </row>
        <row r="659">
          <cell r="A659" t="str">
            <v>Rehabilitation of State own irrigation scheme across the state</v>
          </cell>
        </row>
        <row r="661">
          <cell r="A661" t="str">
            <v>Multi-Year Budget Sub Activities</v>
          </cell>
        </row>
        <row r="662">
          <cell r="A662" t="str">
            <v>Premilinaries</v>
          </cell>
        </row>
        <row r="674">
          <cell r="A674" t="str">
            <v>Sensitization</v>
          </cell>
        </row>
        <row r="679">
          <cell r="A679" t="str">
            <v>Development of Irrigation Structure</v>
          </cell>
        </row>
        <row r="680">
          <cell r="A680" t="str">
            <v>Construction of (4.0)m width access road</v>
          </cell>
        </row>
        <row r="695">
          <cell r="A695" t="str">
            <v>1.4.3 Sub total Year One</v>
          </cell>
        </row>
        <row r="702">
          <cell r="A702" t="str">
            <v>Production of Fingerlings</v>
          </cell>
        </row>
        <row r="704">
          <cell r="A704" t="str">
            <v>Multi-Year Budget Sub Activities</v>
          </cell>
        </row>
        <row r="705">
          <cell r="A705" t="str">
            <v>Preliminary Survey and selection of suitable locations</v>
          </cell>
        </row>
        <row r="709">
          <cell r="A709" t="str">
            <v>Stocking of varieties of Fish</v>
          </cell>
        </row>
        <row r="723">
          <cell r="A723" t="str">
            <v>1.4.4 Sub total Year One</v>
          </cell>
        </row>
        <row r="730">
          <cell r="A730" t="str">
            <v xml:space="preserve">Advocacy and sensitization </v>
          </cell>
        </row>
        <row r="732">
          <cell r="A732" t="str">
            <v>Multi-Year Budget Sub Activities</v>
          </cell>
        </row>
        <row r="733">
          <cell r="A733" t="str">
            <v>Sensitization on Cooperative Clusterization</v>
          </cell>
        </row>
        <row r="736">
          <cell r="A736" t="str">
            <v>Advocacy Meetings on cooperative clusterization</v>
          </cell>
        </row>
        <row r="745">
          <cell r="A745" t="str">
            <v>Seminars on Cooperative Clusterization For the Cooperative Officials</v>
          </cell>
        </row>
        <row r="756">
          <cell r="A756" t="str">
            <v>1.4.5 Sub total Year One</v>
          </cell>
        </row>
        <row r="763">
          <cell r="A763" t="str">
            <v>Restructuring of Cooperative Activities</v>
          </cell>
        </row>
        <row r="765">
          <cell r="A765" t="str">
            <v>Multi-Year Budget Sub Activities</v>
          </cell>
        </row>
        <row r="766">
          <cell r="A766" t="str">
            <v>Redesigning and Printing of Cooperative Materials</v>
          </cell>
        </row>
        <row r="779">
          <cell r="A779" t="str">
            <v>1.4.6 Sub total Year One</v>
          </cell>
        </row>
        <row r="787">
          <cell r="A787" t="str">
            <v>Establishment of cooperative Financing Agency</v>
          </cell>
        </row>
        <row r="789">
          <cell r="A789" t="str">
            <v>Multi-Year Budget Sub Activities</v>
          </cell>
        </row>
        <row r="790">
          <cell r="A790" t="str">
            <v>Enlightment Campagne On Clusterization and Cooperative Federation</v>
          </cell>
        </row>
        <row r="794">
          <cell r="A794" t="str">
            <v>Workshop On Cooperative activities cooperative officials</v>
          </cell>
        </row>
        <row r="803">
          <cell r="A803" t="str">
            <v>Set up Cooperative Commission</v>
          </cell>
        </row>
        <row r="809">
          <cell r="A809" t="str">
            <v>Establish organised Cooperative Federation</v>
          </cell>
        </row>
        <row r="812">
          <cell r="A812" t="str">
            <v>Cooperative staff/official Capacity building on Cluster management</v>
          </cell>
        </row>
        <row r="822">
          <cell r="A822" t="str">
            <v>1.4.7 Sub total Year One</v>
          </cell>
        </row>
        <row r="829">
          <cell r="A829" t="str">
            <v>Rehabilitation of cooperative institute Ikara</v>
          </cell>
        </row>
        <row r="831">
          <cell r="A831" t="str">
            <v>Multi-Year Budget Sub Activities</v>
          </cell>
        </row>
        <row r="832">
          <cell r="A832" t="str">
            <v>Renovation of Building Blocks</v>
          </cell>
        </row>
        <row r="836">
          <cell r="A836" t="str">
            <v>Procurement of Equipment</v>
          </cell>
        </row>
        <row r="852">
          <cell r="A852" t="str">
            <v>1.4.8 Sub total Year One</v>
          </cell>
        </row>
        <row r="859">
          <cell r="A859" t="str">
            <v>Annual Livestock Vaccination Activities</v>
          </cell>
        </row>
        <row r="861">
          <cell r="A861" t="str">
            <v>Multi-Year Budget Sub Activities</v>
          </cell>
        </row>
        <row r="862">
          <cell r="A862" t="str">
            <v>Purchase of vaccines</v>
          </cell>
        </row>
        <row r="880">
          <cell r="A880" t="str">
            <v>Immunization Campaign</v>
          </cell>
        </row>
        <row r="898">
          <cell r="A898" t="str">
            <v>Distribution of vaccines</v>
          </cell>
        </row>
        <row r="903">
          <cell r="A903" t="str">
            <v>1.4.9 Sub total Year One</v>
          </cell>
        </row>
        <row r="910">
          <cell r="A910" t="str">
            <v>Procurement of chemicals &amp; Equipment for Prevention of Disease Outbreak</v>
          </cell>
        </row>
        <row r="912">
          <cell r="A912" t="str">
            <v>Multi-Year Budget Sub Activities</v>
          </cell>
        </row>
        <row r="913">
          <cell r="A913" t="str">
            <v>Registration of Poultry Farms</v>
          </cell>
        </row>
        <row r="921">
          <cell r="A921" t="str">
            <v>Purchase of Chemicals</v>
          </cell>
        </row>
        <row r="927">
          <cell r="A927" t="str">
            <v>Purchase of equipment</v>
          </cell>
        </row>
        <row r="932">
          <cell r="A932" t="str">
            <v>Sensitization and Awareness</v>
          </cell>
        </row>
        <row r="939">
          <cell r="A939" t="str">
            <v>1.4.10 Sub total Year One</v>
          </cell>
        </row>
        <row r="946">
          <cell r="A946" t="str">
            <v>Development of Livestock Production Clusters</v>
          </cell>
        </row>
        <row r="948">
          <cell r="A948" t="str">
            <v>Multi-Year Budget Sub Activities</v>
          </cell>
        </row>
        <row r="949">
          <cell r="A949" t="str">
            <v xml:space="preserve">Construction of livestock Service Centres </v>
          </cell>
        </row>
        <row r="955">
          <cell r="A955" t="str">
            <v>Purchase of Equipment</v>
          </cell>
        </row>
        <row r="959">
          <cell r="A959" t="str">
            <v>Pasture Development</v>
          </cell>
        </row>
        <row r="960">
          <cell r="A960" t="str">
            <v>1.General Bill</v>
          </cell>
        </row>
        <row r="964">
          <cell r="A964" t="str">
            <v>2. Land Preparation</v>
          </cell>
        </row>
        <row r="971">
          <cell r="A971" t="str">
            <v>3.Inputs</v>
          </cell>
        </row>
        <row r="983">
          <cell r="A983" t="str">
            <v>Water Supply/Utilities</v>
          </cell>
        </row>
        <row r="990">
          <cell r="A990" t="str">
            <v>Tracing of Stock Route</v>
          </cell>
        </row>
        <row r="992">
          <cell r="A992" t="str">
            <v>1.5.1 Sub total Year One</v>
          </cell>
        </row>
        <row r="1000">
          <cell r="A1000" t="str">
            <v>Rehabilitation/Equipment /Maintenance of 75 warehouses</v>
          </cell>
        </row>
        <row r="1002">
          <cell r="A1002" t="str">
            <v>Multi-Year Budget Sub Activities</v>
          </cell>
        </row>
        <row r="1003">
          <cell r="A1003" t="str">
            <v>Development of Bill of Quantities for the renovation and construction of warehouses</v>
          </cell>
        </row>
        <row r="1007">
          <cell r="A1007" t="str">
            <v>Renovation of existing warehouses</v>
          </cell>
        </row>
        <row r="1009">
          <cell r="A1009" t="str">
            <v>Equip Existing Warehouse</v>
          </cell>
        </row>
        <row r="1015">
          <cell r="A1015" t="str">
            <v>1.5.2 Sub total Year One</v>
          </cell>
        </row>
        <row r="1022">
          <cell r="A1022" t="str">
            <v>Purchase of 3 No briquette machines</v>
          </cell>
        </row>
        <row r="1024">
          <cell r="A1024" t="str">
            <v>Multi-Year Budget Sub Activities</v>
          </cell>
        </row>
        <row r="1025">
          <cell r="A1025" t="str">
            <v>Preliminary Activities of Briquette Purchase</v>
          </cell>
        </row>
        <row r="1026">
          <cell r="A1026" t="str">
            <v>Purchase and Installation of the Briquette Machine</v>
          </cell>
        </row>
        <row r="1028">
          <cell r="A1028" t="str">
            <v xml:space="preserve">Training/Site Demonstration of the Briquette Machine  </v>
          </cell>
        </row>
        <row r="1039">
          <cell r="A1039" t="str">
            <v>1.5.3 Sub total Year One</v>
          </cell>
        </row>
        <row r="1046">
          <cell r="A1046" t="str">
            <v>Procure Demonstrating Equipment for the School of Home Economic</v>
          </cell>
        </row>
        <row r="1048">
          <cell r="A1048" t="str">
            <v>Multi-Year Budget Sub Activities</v>
          </cell>
        </row>
        <row r="1049">
          <cell r="A1049" t="str">
            <v>Purchase of School Equipments</v>
          </cell>
        </row>
        <row r="1050">
          <cell r="A1050" t="str">
            <v>Sensitization awareness at LGs</v>
          </cell>
        </row>
        <row r="1057">
          <cell r="A1057" t="str">
            <v>1.5.4 Sub total Year One</v>
          </cell>
        </row>
        <row r="1064">
          <cell r="A1064" t="str">
            <v>Enter activity Code first</v>
          </cell>
        </row>
        <row r="1066">
          <cell r="A1066" t="str">
            <v>Multi-Year Budget Sub Activities</v>
          </cell>
        </row>
        <row r="1075">
          <cell r="A1075" t="str">
            <v xml:space="preserve"> Sub total Year One</v>
          </cell>
        </row>
        <row r="1082">
          <cell r="A1082" t="str">
            <v>Enter activity Code first</v>
          </cell>
        </row>
        <row r="1084">
          <cell r="A1084" t="str">
            <v>Multi-Year Budget Sub Activities</v>
          </cell>
        </row>
        <row r="1093">
          <cell r="A1093" t="str">
            <v xml:space="preserve"> Sub total Year One</v>
          </cell>
        </row>
        <row r="1101">
          <cell r="A1101" t="str">
            <v>Enter activity Code first</v>
          </cell>
        </row>
        <row r="1103">
          <cell r="A1103" t="str">
            <v>Multi-Year Budget Sub Activities</v>
          </cell>
        </row>
        <row r="1112">
          <cell r="A1112" t="str">
            <v xml:space="preserve"> Sub total Year One</v>
          </cell>
        </row>
        <row r="1119">
          <cell r="A1119" t="str">
            <v>Enter activity Code first</v>
          </cell>
        </row>
        <row r="1121">
          <cell r="A1121" t="str">
            <v>Multi-Year Budget Sub Activities</v>
          </cell>
        </row>
        <row r="1130">
          <cell r="A1130" t="str">
            <v xml:space="preserve"> Sub total Year One</v>
          </cell>
        </row>
        <row r="1137">
          <cell r="A1137" t="str">
            <v>Enter activity Code first</v>
          </cell>
        </row>
        <row r="1139">
          <cell r="A1139" t="str">
            <v>Multi-Year Budget Sub Activities</v>
          </cell>
        </row>
        <row r="1148">
          <cell r="A1148" t="str">
            <v xml:space="preserve"> Sub total Year One</v>
          </cell>
        </row>
        <row r="1155">
          <cell r="A1155" t="str">
            <v>Enter activity Code first</v>
          </cell>
        </row>
        <row r="1157">
          <cell r="A1157" t="str">
            <v>Multi-Year Budget Sub Activities</v>
          </cell>
        </row>
        <row r="1166">
          <cell r="A1166" t="str">
            <v xml:space="preserve"> Sub total Year One</v>
          </cell>
        </row>
        <row r="1173">
          <cell r="A1173" t="str">
            <v>Enter activity Code first</v>
          </cell>
        </row>
        <row r="1175">
          <cell r="A1175" t="str">
            <v>Multi-Year Budget Sub Activities</v>
          </cell>
        </row>
        <row r="1184">
          <cell r="A1184" t="str">
            <v xml:space="preserve"> Sub total Year One</v>
          </cell>
        </row>
        <row r="1192">
          <cell r="A1192" t="str">
            <v>Enter activity Code first</v>
          </cell>
        </row>
        <row r="1194">
          <cell r="A1194" t="str">
            <v>Multi-Year Budget Sub Activities</v>
          </cell>
        </row>
        <row r="1203">
          <cell r="A1203" t="str">
            <v xml:space="preserve"> Sub total Year One</v>
          </cell>
        </row>
        <row r="1210">
          <cell r="A1210" t="str">
            <v>Enter activity Code first</v>
          </cell>
        </row>
        <row r="1212">
          <cell r="A1212" t="str">
            <v>Multi-Year Budget Sub Activities</v>
          </cell>
        </row>
        <row r="1221">
          <cell r="A1221" t="str">
            <v xml:space="preserve"> Sub total Year One</v>
          </cell>
        </row>
        <row r="1228">
          <cell r="A1228" t="str">
            <v>Enter activity Code first</v>
          </cell>
        </row>
        <row r="1230">
          <cell r="A1230" t="str">
            <v>Multi-Year Budget Sub Activities</v>
          </cell>
        </row>
        <row r="1239">
          <cell r="A1239" t="str">
            <v xml:space="preserve"> Sub total Year One</v>
          </cell>
        </row>
        <row r="1246">
          <cell r="A1246" t="str">
            <v>Enter activity Code first</v>
          </cell>
        </row>
        <row r="1248">
          <cell r="A1248" t="str">
            <v>Multi-Year Budget Sub Activities</v>
          </cell>
        </row>
        <row r="1257">
          <cell r="A1257" t="str">
            <v xml:space="preserve"> Sub total Year One</v>
          </cell>
        </row>
        <row r="1264">
          <cell r="A1264" t="str">
            <v>Enter activity Code first</v>
          </cell>
        </row>
        <row r="1266">
          <cell r="A1266" t="str">
            <v>Multi-Year Budget Sub Activities</v>
          </cell>
        </row>
        <row r="1275">
          <cell r="A1275" t="str">
            <v xml:space="preserve"> Sub total Year One</v>
          </cell>
        </row>
        <row r="1283">
          <cell r="A1283" t="str">
            <v>Enter activity Code first</v>
          </cell>
        </row>
        <row r="1285">
          <cell r="A1285" t="str">
            <v>Multi-Year Budget Sub Activities</v>
          </cell>
        </row>
        <row r="1294">
          <cell r="A1294" t="str">
            <v xml:space="preserve"> Sub total Year One</v>
          </cell>
        </row>
        <row r="1301">
          <cell r="A1301" t="str">
            <v>Enter activity Code first</v>
          </cell>
        </row>
        <row r="1303">
          <cell r="A1303" t="str">
            <v>Multi-Year Budget Sub Activities</v>
          </cell>
        </row>
        <row r="1312">
          <cell r="A1312" t="str">
            <v xml:space="preserve"> Sub total Year One</v>
          </cell>
        </row>
        <row r="1319">
          <cell r="A1319" t="str">
            <v>Enter activity Code first</v>
          </cell>
        </row>
        <row r="1321">
          <cell r="A1321" t="str">
            <v>Multi-Year Budget Sub Activities</v>
          </cell>
        </row>
        <row r="1330">
          <cell r="A1330" t="str">
            <v xml:space="preserve"> Sub total Year One</v>
          </cell>
        </row>
        <row r="1337">
          <cell r="A1337" t="str">
            <v>Enter activity Code first</v>
          </cell>
        </row>
        <row r="1339">
          <cell r="A1339" t="str">
            <v>Multi-Year Budget Sub Activities</v>
          </cell>
        </row>
        <row r="1348">
          <cell r="A1348" t="str">
            <v xml:space="preserve"> Sub total Year One</v>
          </cell>
        </row>
        <row r="1355">
          <cell r="A1355" t="str">
            <v>Enter activity Code first</v>
          </cell>
        </row>
        <row r="1357">
          <cell r="A1357" t="str">
            <v>Multi-Year Budget Sub Activities</v>
          </cell>
        </row>
        <row r="1366">
          <cell r="A1366" t="str">
            <v xml:space="preserve"> Sub total Year One</v>
          </cell>
        </row>
        <row r="1374">
          <cell r="A1374" t="str">
            <v>Enter activity Code first</v>
          </cell>
        </row>
        <row r="1376">
          <cell r="A1376" t="str">
            <v>Multi-Year Budget Sub Activities</v>
          </cell>
        </row>
        <row r="1385">
          <cell r="A1385" t="str">
            <v xml:space="preserve"> Sub total Year One</v>
          </cell>
        </row>
        <row r="1392">
          <cell r="A1392" t="str">
            <v>Enter activity Code first</v>
          </cell>
        </row>
        <row r="1394">
          <cell r="A1394" t="str">
            <v>Multi-Year Budget Sub Activities</v>
          </cell>
        </row>
        <row r="1403">
          <cell r="A1403" t="str">
            <v xml:space="preserve"> Sub total Year One</v>
          </cell>
        </row>
        <row r="1410">
          <cell r="A1410" t="str">
            <v>Enter activity Code first</v>
          </cell>
        </row>
        <row r="1412">
          <cell r="A1412" t="str">
            <v>Multi-Year Budget Sub Activities</v>
          </cell>
        </row>
        <row r="1421">
          <cell r="A1421" t="str">
            <v xml:space="preserve"> Sub total Year One</v>
          </cell>
        </row>
        <row r="1428">
          <cell r="A1428" t="str">
            <v>Enter activity Code first</v>
          </cell>
        </row>
        <row r="1430">
          <cell r="A1430" t="str">
            <v>Multi-Year Budget Sub Activities</v>
          </cell>
        </row>
        <row r="1439">
          <cell r="A1439" t="str">
            <v xml:space="preserve"> Sub total Year One</v>
          </cell>
        </row>
        <row r="1446">
          <cell r="A1446" t="str">
            <v>Enter activity Code first</v>
          </cell>
        </row>
        <row r="1448">
          <cell r="A1448" t="str">
            <v>Multi-Year Budget Sub Activities</v>
          </cell>
        </row>
        <row r="1457">
          <cell r="A1457" t="str">
            <v xml:space="preserve"> Sub total Year One</v>
          </cell>
        </row>
        <row r="1465">
          <cell r="A1465" t="str">
            <v>Enter activity Code first</v>
          </cell>
        </row>
        <row r="1467">
          <cell r="A1467" t="str">
            <v>Multi-Year Budget Sub Activities</v>
          </cell>
        </row>
        <row r="1476">
          <cell r="A1476" t="str">
            <v xml:space="preserve"> Sub total Year One</v>
          </cell>
        </row>
        <row r="1483">
          <cell r="A1483" t="str">
            <v>Enter activity Code first</v>
          </cell>
        </row>
        <row r="1485">
          <cell r="A1485" t="str">
            <v>Multi-Year Budget Sub Activities</v>
          </cell>
        </row>
        <row r="1494">
          <cell r="A1494" t="str">
            <v xml:space="preserve"> Sub total Year One</v>
          </cell>
        </row>
        <row r="1501">
          <cell r="A1501" t="str">
            <v>Enter activity Code first</v>
          </cell>
        </row>
        <row r="1503">
          <cell r="A1503" t="str">
            <v>Multi-Year Budget Sub Activities</v>
          </cell>
        </row>
        <row r="1512">
          <cell r="A1512" t="str">
            <v xml:space="preserve"> Sub total Year One</v>
          </cell>
        </row>
        <row r="1519">
          <cell r="A1519" t="str">
            <v>Enter activity Code first</v>
          </cell>
        </row>
        <row r="1521">
          <cell r="A1521" t="str">
            <v>Multi-Year Budget Sub Activities</v>
          </cell>
        </row>
        <row r="1530">
          <cell r="A1530" t="str">
            <v xml:space="preserve"> Sub total Year One</v>
          </cell>
        </row>
        <row r="1537">
          <cell r="A1537" t="str">
            <v>Enter activity Code first</v>
          </cell>
        </row>
        <row r="1539">
          <cell r="A1539" t="str">
            <v>Multi-Year Budget Sub Activities</v>
          </cell>
        </row>
        <row r="1548">
          <cell r="A1548" t="str">
            <v xml:space="preserve"> Sub total Year One</v>
          </cell>
        </row>
        <row r="1556">
          <cell r="A1556" t="str">
            <v>Enter activity Code first</v>
          </cell>
        </row>
        <row r="1558">
          <cell r="A1558" t="str">
            <v>Multi-Year Budget Sub Activities</v>
          </cell>
        </row>
        <row r="1567">
          <cell r="A1567" t="str">
            <v xml:space="preserve"> Sub total Year One</v>
          </cell>
        </row>
        <row r="1574">
          <cell r="A1574" t="str">
            <v>Enter activity Code first</v>
          </cell>
        </row>
        <row r="1576">
          <cell r="A1576" t="str">
            <v>Multi-Year Budget Sub Activities</v>
          </cell>
        </row>
        <row r="1585">
          <cell r="A1585" t="str">
            <v xml:space="preserve"> Sub total Year One</v>
          </cell>
        </row>
        <row r="1592">
          <cell r="A1592" t="str">
            <v>Enter activity Code first</v>
          </cell>
        </row>
        <row r="1594">
          <cell r="A1594" t="str">
            <v>Multi-Year Budget Sub Activities</v>
          </cell>
        </row>
        <row r="1603">
          <cell r="A1603" t="str">
            <v xml:space="preserve"> Sub total Year One</v>
          </cell>
        </row>
        <row r="1610">
          <cell r="A1610" t="str">
            <v>Enter activity Code first</v>
          </cell>
        </row>
        <row r="1612">
          <cell r="A1612" t="str">
            <v>Multi-Year Budget Sub Activities</v>
          </cell>
        </row>
        <row r="1621">
          <cell r="A1621" t="str">
            <v xml:space="preserve"> Sub total Year One</v>
          </cell>
        </row>
        <row r="1628">
          <cell r="A1628" t="str">
            <v>Enter activity Code first</v>
          </cell>
        </row>
        <row r="1630">
          <cell r="A1630" t="str">
            <v>Multi-Year Budget Sub Activities</v>
          </cell>
        </row>
        <row r="1639">
          <cell r="A1639" t="str">
            <v xml:space="preserve"> Sub total Year One</v>
          </cell>
        </row>
        <row r="1647">
          <cell r="A1647" t="str">
            <v>Enter activity Code first</v>
          </cell>
        </row>
        <row r="1649">
          <cell r="A1649" t="str">
            <v>Multi-Year Budget Sub Activities</v>
          </cell>
        </row>
        <row r="1658">
          <cell r="A1658" t="str">
            <v xml:space="preserve"> Sub total Year One</v>
          </cell>
        </row>
        <row r="1665">
          <cell r="A1665" t="str">
            <v>Enter activity Code first</v>
          </cell>
        </row>
        <row r="1667">
          <cell r="A1667" t="str">
            <v>Multi-Year Budget Sub Activities</v>
          </cell>
        </row>
        <row r="1676">
          <cell r="A1676" t="str">
            <v xml:space="preserve"> Sub total Year One</v>
          </cell>
        </row>
        <row r="1683">
          <cell r="A1683" t="str">
            <v>Enter activity Code first</v>
          </cell>
        </row>
        <row r="1685">
          <cell r="A1685" t="str">
            <v>Multi-Year Budget Sub Activities</v>
          </cell>
        </row>
        <row r="1694">
          <cell r="A1694" t="str">
            <v xml:space="preserve"> Sub total Year One</v>
          </cell>
        </row>
        <row r="1701">
          <cell r="A1701" t="str">
            <v>Enter activity Code first</v>
          </cell>
        </row>
        <row r="1703">
          <cell r="A1703" t="str">
            <v>Multi-Year Budget Sub Activities</v>
          </cell>
        </row>
        <row r="1712">
          <cell r="A1712" t="str">
            <v xml:space="preserve"> Sub total Year One</v>
          </cell>
        </row>
        <row r="1719">
          <cell r="A1719" t="str">
            <v>Enter activity Code first</v>
          </cell>
        </row>
        <row r="1721">
          <cell r="A1721" t="str">
            <v>Multi-Year Budget Sub Activities</v>
          </cell>
        </row>
        <row r="1730">
          <cell r="A1730" t="str">
            <v xml:space="preserve"> Sub total Year One</v>
          </cell>
        </row>
        <row r="1738">
          <cell r="A1738" t="str">
            <v>Enter activity Code first</v>
          </cell>
        </row>
        <row r="1740">
          <cell r="A1740" t="str">
            <v>Multi-Year Budget Sub Activities</v>
          </cell>
        </row>
        <row r="1749">
          <cell r="A1749" t="str">
            <v xml:space="preserve"> Sub total Year One</v>
          </cell>
        </row>
        <row r="1756">
          <cell r="A1756" t="str">
            <v>Enter activity Code first</v>
          </cell>
        </row>
        <row r="1758">
          <cell r="A1758" t="str">
            <v>Multi-Year Budget Sub Activities</v>
          </cell>
        </row>
        <row r="1767">
          <cell r="A1767" t="str">
            <v xml:space="preserve"> Sub total Year One</v>
          </cell>
        </row>
        <row r="1774">
          <cell r="A1774" t="str">
            <v>Enter activity Code first</v>
          </cell>
        </row>
        <row r="1776">
          <cell r="A1776" t="str">
            <v>Multi-Year Budget Sub Activities</v>
          </cell>
        </row>
        <row r="1785">
          <cell r="A1785" t="str">
            <v xml:space="preserve"> Sub total Year One</v>
          </cell>
        </row>
        <row r="1792">
          <cell r="A1792" t="str">
            <v>Enter activity Code first</v>
          </cell>
        </row>
        <row r="1794">
          <cell r="A1794" t="str">
            <v>Multi-Year Budget Sub Activities</v>
          </cell>
        </row>
        <row r="1803">
          <cell r="A1803" t="str">
            <v xml:space="preserve"> Sub total Year One</v>
          </cell>
        </row>
        <row r="1810">
          <cell r="A1810" t="str">
            <v>Enter activity Code first</v>
          </cell>
        </row>
        <row r="1812">
          <cell r="A1812" t="str">
            <v>Multi-Year Budget Sub Activities</v>
          </cell>
        </row>
        <row r="1821">
          <cell r="A1821" t="str">
            <v xml:space="preserve"> Sub total Year One</v>
          </cell>
        </row>
        <row r="1829">
          <cell r="A1829" t="str">
            <v>Enter activity Code first</v>
          </cell>
        </row>
        <row r="1831">
          <cell r="A1831" t="str">
            <v>Multi-Year Budget Sub Activities</v>
          </cell>
        </row>
        <row r="1840">
          <cell r="A1840" t="str">
            <v xml:space="preserve"> Sub total Year One</v>
          </cell>
        </row>
        <row r="1847">
          <cell r="A1847" t="str">
            <v>Enter activity Code first</v>
          </cell>
        </row>
        <row r="1849">
          <cell r="A1849" t="str">
            <v>Multi-Year Budget Sub Activities</v>
          </cell>
        </row>
        <row r="1858">
          <cell r="A1858" t="str">
            <v xml:space="preserve"> Sub total Year One</v>
          </cell>
        </row>
        <row r="1865">
          <cell r="A1865" t="str">
            <v>Enter activity Code first</v>
          </cell>
        </row>
        <row r="1867">
          <cell r="A1867" t="str">
            <v>Multi-Year Budget Sub Activities</v>
          </cell>
        </row>
        <row r="1876">
          <cell r="A1876" t="str">
            <v xml:space="preserve"> Sub total Year One</v>
          </cell>
        </row>
        <row r="1883">
          <cell r="A1883" t="str">
            <v>Enter activity Code first</v>
          </cell>
        </row>
        <row r="1885">
          <cell r="A1885" t="str">
            <v>Multi-Year Budget Sub Activities</v>
          </cell>
        </row>
        <row r="1894">
          <cell r="A1894" t="str">
            <v xml:space="preserve"> Sub total Year One</v>
          </cell>
        </row>
        <row r="1901">
          <cell r="A1901" t="str">
            <v>Enter activity Code first</v>
          </cell>
        </row>
        <row r="1903">
          <cell r="A1903" t="str">
            <v>Multi-Year Budget Sub Activities</v>
          </cell>
        </row>
        <row r="1912">
          <cell r="A1912" t="str">
            <v xml:space="preserve"> Sub total Year One</v>
          </cell>
        </row>
        <row r="1920">
          <cell r="A1920" t="str">
            <v>Enter activity Code first</v>
          </cell>
        </row>
        <row r="1922">
          <cell r="A1922" t="str">
            <v>Multi-Year Budget Sub Activities</v>
          </cell>
        </row>
        <row r="1931">
          <cell r="A1931" t="str">
            <v xml:space="preserve"> Sub total Year One</v>
          </cell>
        </row>
        <row r="1938">
          <cell r="A1938" t="str">
            <v>Not Specified</v>
          </cell>
        </row>
        <row r="1940">
          <cell r="A1940" t="str">
            <v>Multi-Year Budget Sub Activities</v>
          </cell>
        </row>
        <row r="1949">
          <cell r="A1949" t="str">
            <v xml:space="preserve"> Sub total Year One</v>
          </cell>
        </row>
        <row r="1956">
          <cell r="A1956" t="str">
            <v>Enter activity Code first</v>
          </cell>
        </row>
        <row r="1958">
          <cell r="A1958" t="str">
            <v>Multi-Year Budget Sub Activities</v>
          </cell>
        </row>
        <row r="1967">
          <cell r="A1967" t="str">
            <v xml:space="preserve"> Sub total Year One</v>
          </cell>
        </row>
        <row r="1974">
          <cell r="A1974" t="str">
            <v>Enter activity Code first</v>
          </cell>
        </row>
        <row r="1976">
          <cell r="A1976" t="str">
            <v>Multi-Year Budget Sub Activities</v>
          </cell>
        </row>
        <row r="1985">
          <cell r="A1985" t="str">
            <v xml:space="preserve"> Sub total Year One</v>
          </cell>
        </row>
        <row r="1992">
          <cell r="A1992" t="str">
            <v>Not Specified</v>
          </cell>
        </row>
        <row r="1994">
          <cell r="A1994" t="str">
            <v>Multi-Year Budget Sub Activities</v>
          </cell>
        </row>
        <row r="2003">
          <cell r="A2003" t="str">
            <v xml:space="preserve"> Sub total Year One</v>
          </cell>
        </row>
        <row r="2011">
          <cell r="A2011" t="str">
            <v>Enter activity Code first</v>
          </cell>
        </row>
        <row r="2013">
          <cell r="A2013" t="str">
            <v>Multi-Year Budget Sub Activities</v>
          </cell>
        </row>
        <row r="2022">
          <cell r="A2022" t="str">
            <v xml:space="preserve"> Sub total Year One</v>
          </cell>
        </row>
        <row r="2029">
          <cell r="A2029" t="str">
            <v>Enter activity Code first</v>
          </cell>
        </row>
        <row r="2031">
          <cell r="A2031" t="str">
            <v>Multi-Year Budget Sub Activities</v>
          </cell>
        </row>
        <row r="2040">
          <cell r="A2040" t="str">
            <v xml:space="preserve"> Sub total Year One</v>
          </cell>
        </row>
        <row r="2047">
          <cell r="A2047" t="str">
            <v>Not Specified</v>
          </cell>
        </row>
        <row r="2049">
          <cell r="A2049" t="str">
            <v>Multi-Year Budget Sub Activities</v>
          </cell>
        </row>
        <row r="2058">
          <cell r="A2058" t="str">
            <v xml:space="preserve"> Sub total Year One</v>
          </cell>
        </row>
        <row r="2065">
          <cell r="A2065" t="str">
            <v>Enter activity Code first</v>
          </cell>
        </row>
        <row r="2067">
          <cell r="A2067" t="str">
            <v>Multi-Year Budget Sub Activities</v>
          </cell>
        </row>
        <row r="2076">
          <cell r="A2076" t="str">
            <v xml:space="preserve"> Sub total Year One</v>
          </cell>
        </row>
        <row r="2083">
          <cell r="A2083" t="str">
            <v>Enter activity Code first</v>
          </cell>
        </row>
        <row r="2085">
          <cell r="A2085" t="str">
            <v>Multi-Year Budget Sub Activities</v>
          </cell>
        </row>
        <row r="2094">
          <cell r="A2094" t="str">
            <v xml:space="preserve"> Sub total Year One</v>
          </cell>
        </row>
        <row r="2102">
          <cell r="A2102" t="str">
            <v>Not Specified</v>
          </cell>
        </row>
        <row r="2104">
          <cell r="A2104" t="str">
            <v>Multi-Year Budget Sub Activities</v>
          </cell>
        </row>
        <row r="2113">
          <cell r="A2113" t="str">
            <v xml:space="preserve"> Sub total Year One</v>
          </cell>
        </row>
        <row r="2120">
          <cell r="A2120" t="str">
            <v>Enter activity Code first</v>
          </cell>
        </row>
        <row r="2122">
          <cell r="A2122" t="str">
            <v>Multi-Year Budget Sub Activities</v>
          </cell>
        </row>
        <row r="2131">
          <cell r="A2131" t="str">
            <v xml:space="preserve"> Sub total Year One</v>
          </cell>
        </row>
        <row r="2138">
          <cell r="A2138" t="str">
            <v>Enter activity Code first</v>
          </cell>
        </row>
        <row r="2140">
          <cell r="A2140" t="str">
            <v>Multi-Year Budget Sub Activities</v>
          </cell>
        </row>
        <row r="2149">
          <cell r="A2149" t="str">
            <v xml:space="preserve"> Sub total Year One</v>
          </cell>
        </row>
        <row r="2156">
          <cell r="A2156" t="str">
            <v>Enter activity Code first</v>
          </cell>
        </row>
        <row r="2158">
          <cell r="A2158" t="str">
            <v>Multi-Year Budget Sub Activities</v>
          </cell>
        </row>
        <row r="2167">
          <cell r="A2167" t="str">
            <v xml:space="preserve"> Sub total Year One</v>
          </cell>
        </row>
        <row r="2174">
          <cell r="A2174" t="str">
            <v>Enter activity Code first</v>
          </cell>
        </row>
        <row r="2176">
          <cell r="A2176" t="str">
            <v>Multi-Year Budget Sub Activities</v>
          </cell>
        </row>
        <row r="2185">
          <cell r="A2185" t="str">
            <v xml:space="preserve"> Sub total Year One</v>
          </cell>
        </row>
        <row r="2193">
          <cell r="A2193" t="str">
            <v>Enter activity Code first</v>
          </cell>
        </row>
        <row r="2195">
          <cell r="A2195" t="str">
            <v>Multi-Year Budget Sub Activities</v>
          </cell>
        </row>
        <row r="2204">
          <cell r="A2204" t="str">
            <v xml:space="preserve"> Sub total Year One</v>
          </cell>
        </row>
        <row r="2211">
          <cell r="A2211" t="str">
            <v>Enter activity Code first</v>
          </cell>
        </row>
        <row r="2213">
          <cell r="A2213" t="str">
            <v>Multi-Year Budget Sub Activities</v>
          </cell>
        </row>
        <row r="2222">
          <cell r="A2222" t="str">
            <v xml:space="preserve"> Sub total Year One</v>
          </cell>
        </row>
        <row r="2229">
          <cell r="A2229" t="str">
            <v>Enter activity Code first</v>
          </cell>
        </row>
        <row r="2231">
          <cell r="A2231" t="str">
            <v>Multi-Year Budget Sub Activities</v>
          </cell>
        </row>
        <row r="2240">
          <cell r="A2240" t="str">
            <v xml:space="preserve"> Sub total Year One</v>
          </cell>
        </row>
        <row r="2247">
          <cell r="A2247" t="str">
            <v>Enter activity Code first</v>
          </cell>
        </row>
        <row r="2249">
          <cell r="A2249" t="str">
            <v>Multi-Year Budget Sub Activities</v>
          </cell>
        </row>
        <row r="2258">
          <cell r="A2258" t="str">
            <v xml:space="preserve"> Sub total Year One</v>
          </cell>
        </row>
        <row r="2265">
          <cell r="A2265" t="str">
            <v>Enter activity Code first</v>
          </cell>
        </row>
        <row r="2267">
          <cell r="A2267" t="str">
            <v>Multi-Year Budget Sub Activities</v>
          </cell>
        </row>
        <row r="2276">
          <cell r="A2276" t="str">
            <v xml:space="preserve"> Sub total Year One</v>
          </cell>
        </row>
        <row r="2284">
          <cell r="A2284" t="str">
            <v>Enter activity Code first</v>
          </cell>
        </row>
        <row r="2286">
          <cell r="A2286" t="str">
            <v>Multi-Year Budget Sub Activities</v>
          </cell>
        </row>
        <row r="2295">
          <cell r="A2295" t="str">
            <v xml:space="preserve"> Sub total Year One</v>
          </cell>
        </row>
        <row r="2302">
          <cell r="A2302" t="str">
            <v>Enter activity Code first</v>
          </cell>
        </row>
        <row r="2304">
          <cell r="A2304" t="str">
            <v>Multi-Year Budget Sub Activities</v>
          </cell>
        </row>
        <row r="2313">
          <cell r="A2313" t="str">
            <v xml:space="preserve"> Sub total Year One</v>
          </cell>
        </row>
        <row r="2320">
          <cell r="A2320" t="str">
            <v>Enter activity Code first</v>
          </cell>
        </row>
        <row r="2322">
          <cell r="A2322" t="str">
            <v>Multi-Year Budget Sub Activities</v>
          </cell>
        </row>
        <row r="2331">
          <cell r="A2331" t="str">
            <v xml:space="preserve"> Sub total Year One</v>
          </cell>
        </row>
        <row r="2338">
          <cell r="A2338" t="str">
            <v>Enter activity Code first</v>
          </cell>
        </row>
        <row r="2340">
          <cell r="A2340" t="str">
            <v>Multi-Year Budget Sub Activities</v>
          </cell>
        </row>
        <row r="2349">
          <cell r="A2349" t="str">
            <v xml:space="preserve"> Sub total Year One</v>
          </cell>
        </row>
        <row r="2356">
          <cell r="A2356" t="str">
            <v>Enter activity Code first</v>
          </cell>
        </row>
        <row r="2358">
          <cell r="A2358" t="str">
            <v>Multi-Year Budget Sub Activities</v>
          </cell>
        </row>
        <row r="2367">
          <cell r="A2367" t="str">
            <v xml:space="preserve"> Sub total Year One</v>
          </cell>
        </row>
        <row r="2375">
          <cell r="A2375" t="str">
            <v>Enter activity Code first</v>
          </cell>
        </row>
        <row r="2377">
          <cell r="A2377" t="str">
            <v>Multi-Year Budget Sub Activities</v>
          </cell>
        </row>
        <row r="2386">
          <cell r="A2386" t="str">
            <v xml:space="preserve"> Sub total Year One</v>
          </cell>
        </row>
        <row r="2393">
          <cell r="A2393" t="str">
            <v>Enter activity Code first</v>
          </cell>
        </row>
        <row r="2395">
          <cell r="A2395" t="str">
            <v>Multi-Year Budget Sub Activities</v>
          </cell>
        </row>
        <row r="2404">
          <cell r="A2404" t="str">
            <v xml:space="preserve"> Sub total Year One</v>
          </cell>
        </row>
        <row r="2411">
          <cell r="A2411" t="str">
            <v>Enter activity Code first</v>
          </cell>
        </row>
        <row r="2413">
          <cell r="A2413" t="str">
            <v>Multi-Year Budget Sub Activities</v>
          </cell>
        </row>
        <row r="2422">
          <cell r="A2422" t="str">
            <v xml:space="preserve"> Sub total Year One</v>
          </cell>
        </row>
        <row r="2429">
          <cell r="A2429" t="str">
            <v>Enter activity Code first</v>
          </cell>
        </row>
        <row r="2431">
          <cell r="A2431" t="str">
            <v>Multi-Year Budget Sub Activities</v>
          </cell>
        </row>
        <row r="2440">
          <cell r="A2440" t="str">
            <v xml:space="preserve"> Sub total Year One</v>
          </cell>
        </row>
        <row r="2447">
          <cell r="A2447" t="str">
            <v>Enter activity Code first</v>
          </cell>
        </row>
        <row r="2449">
          <cell r="A2449" t="str">
            <v>Multi-Year Budget Sub Activities</v>
          </cell>
        </row>
        <row r="2458">
          <cell r="A2458" t="str">
            <v xml:space="preserve"> Sub total Year One</v>
          </cell>
        </row>
        <row r="2466">
          <cell r="A2466" t="str">
            <v>Enter activity Code first</v>
          </cell>
        </row>
        <row r="2468">
          <cell r="A2468" t="str">
            <v>Multi-Year Budget Sub Activities</v>
          </cell>
        </row>
        <row r="2477">
          <cell r="A2477" t="str">
            <v xml:space="preserve"> Sub total Year One</v>
          </cell>
        </row>
        <row r="2484">
          <cell r="A2484" t="str">
            <v>Enter activity Code first</v>
          </cell>
        </row>
        <row r="2486">
          <cell r="A2486" t="str">
            <v>Multi-Year Budget Sub Activities</v>
          </cell>
        </row>
        <row r="2495">
          <cell r="A2495" t="str">
            <v xml:space="preserve"> Sub total Year One</v>
          </cell>
        </row>
        <row r="2502">
          <cell r="A2502" t="str">
            <v>Enter activity Code first</v>
          </cell>
        </row>
        <row r="2504">
          <cell r="A2504" t="str">
            <v>Multi-Year Budget Sub Activities</v>
          </cell>
        </row>
        <row r="2513">
          <cell r="A2513" t="str">
            <v xml:space="preserve"> Sub total Year One</v>
          </cell>
        </row>
        <row r="2520">
          <cell r="A2520" t="str">
            <v>Enter activity Code first</v>
          </cell>
        </row>
        <row r="2522">
          <cell r="A2522" t="str">
            <v>Multi-Year Budget Sub Activities</v>
          </cell>
        </row>
        <row r="2531">
          <cell r="A2531" t="str">
            <v xml:space="preserve"> Sub total Year One</v>
          </cell>
        </row>
        <row r="2538">
          <cell r="A2538" t="str">
            <v>Not Specified</v>
          </cell>
        </row>
        <row r="2540">
          <cell r="A2540" t="str">
            <v>Multi-Year Budget Sub Activities</v>
          </cell>
        </row>
        <row r="2549">
          <cell r="A2549" t="str">
            <v xml:space="preserve"> Sub total Year One</v>
          </cell>
        </row>
        <row r="2557">
          <cell r="A2557" t="str">
            <v>Enter activity Code first</v>
          </cell>
        </row>
        <row r="2559">
          <cell r="A2559" t="str">
            <v>Multi-Year Budget Sub Activities</v>
          </cell>
        </row>
        <row r="2568">
          <cell r="A2568" t="str">
            <v xml:space="preserve"> Sub total Year One</v>
          </cell>
        </row>
        <row r="2575">
          <cell r="A2575" t="str">
            <v>Enter activity Code first</v>
          </cell>
        </row>
        <row r="2577">
          <cell r="A2577" t="str">
            <v>Multi-Year Budget Sub Activities</v>
          </cell>
        </row>
        <row r="2586">
          <cell r="A2586" t="str">
            <v xml:space="preserve"> Sub total Year One</v>
          </cell>
        </row>
        <row r="2593">
          <cell r="A2593" t="str">
            <v>Not Specified</v>
          </cell>
        </row>
        <row r="2595">
          <cell r="A2595" t="str">
            <v>Multi-Year Budget Sub Activities</v>
          </cell>
        </row>
        <row r="2604">
          <cell r="A2604" t="str">
            <v xml:space="preserve"> Sub total Year One</v>
          </cell>
        </row>
        <row r="2611">
          <cell r="A2611" t="str">
            <v>Enter activity Code first</v>
          </cell>
        </row>
        <row r="2613">
          <cell r="A2613" t="str">
            <v>Multi-Year Budget Sub Activities</v>
          </cell>
        </row>
        <row r="2622">
          <cell r="A2622" t="str">
            <v xml:space="preserve"> Sub total Year One</v>
          </cell>
        </row>
        <row r="2629">
          <cell r="A2629" t="str">
            <v>Enter activity Code first</v>
          </cell>
        </row>
        <row r="2631">
          <cell r="A2631" t="str">
            <v>Multi-Year Budget Sub Activities</v>
          </cell>
        </row>
        <row r="2640">
          <cell r="A2640" t="str">
            <v xml:space="preserve"> Sub total Year One</v>
          </cell>
        </row>
        <row r="2648">
          <cell r="A2648" t="str">
            <v>Enter activity Code first</v>
          </cell>
        </row>
        <row r="2650">
          <cell r="A2650" t="str">
            <v>Multi-Year Budget Sub Activities</v>
          </cell>
        </row>
        <row r="2659">
          <cell r="A2659" t="str">
            <v xml:space="preserve"> Sub total Year One</v>
          </cell>
        </row>
        <row r="2666">
          <cell r="A2666" t="str">
            <v>Enter activity Code first</v>
          </cell>
        </row>
        <row r="2668">
          <cell r="A2668" t="str">
            <v>Multi-Year Budget Sub Activities</v>
          </cell>
        </row>
        <row r="2677">
          <cell r="A2677" t="str">
            <v xml:space="preserve"> Sub total Year One</v>
          </cell>
        </row>
        <row r="2684">
          <cell r="A2684" t="str">
            <v>Enter activity Code first</v>
          </cell>
        </row>
        <row r="2686">
          <cell r="A2686" t="str">
            <v>Multi-Year Budget Sub Activities</v>
          </cell>
        </row>
        <row r="2695">
          <cell r="A2695" t="str">
            <v xml:space="preserve"> Sub total Year One</v>
          </cell>
        </row>
        <row r="2702">
          <cell r="A2702" t="str">
            <v>Enter activity Code first</v>
          </cell>
        </row>
        <row r="2704">
          <cell r="A2704" t="str">
            <v>Multi-Year Budget Sub Activities</v>
          </cell>
        </row>
        <row r="2713">
          <cell r="A2713" t="str">
            <v xml:space="preserve"> Sub total Year One</v>
          </cell>
        </row>
        <row r="2720">
          <cell r="A2720" t="str">
            <v>Enter activity Code first</v>
          </cell>
        </row>
        <row r="2722">
          <cell r="A2722" t="str">
            <v>Multi-Year Budget Sub Activities</v>
          </cell>
        </row>
        <row r="2731">
          <cell r="A2731" t="str">
            <v xml:space="preserve"> Sub total Year One</v>
          </cell>
        </row>
        <row r="2739">
          <cell r="A2739" t="str">
            <v>Enter activity Code first</v>
          </cell>
        </row>
        <row r="2741">
          <cell r="A2741" t="str">
            <v>Multi-Year Budget Sub Activities</v>
          </cell>
        </row>
        <row r="2750">
          <cell r="A2750" t="str">
            <v xml:space="preserve"> Sub total Year One</v>
          </cell>
        </row>
        <row r="2757">
          <cell r="A2757" t="str">
            <v>Enter activity Code first</v>
          </cell>
        </row>
        <row r="2759">
          <cell r="A2759" t="str">
            <v>Multi-Year Budget Sub Activities</v>
          </cell>
        </row>
        <row r="2768">
          <cell r="A2768" t="str">
            <v xml:space="preserve"> Sub total Year One</v>
          </cell>
        </row>
        <row r="2775">
          <cell r="A2775" t="str">
            <v>Enter activity Code first</v>
          </cell>
        </row>
        <row r="2777">
          <cell r="A2777" t="str">
            <v>Multi-Year Budget Sub Activities</v>
          </cell>
        </row>
        <row r="2786">
          <cell r="A2786" t="str">
            <v xml:space="preserve"> Sub total Year One</v>
          </cell>
        </row>
        <row r="2793">
          <cell r="A2793" t="str">
            <v>Enter activity Code first</v>
          </cell>
        </row>
        <row r="2795">
          <cell r="A2795" t="str">
            <v>Multi-Year Budget Sub Activities</v>
          </cell>
        </row>
        <row r="2804">
          <cell r="A2804" t="str">
            <v xml:space="preserve"> Sub total Year One</v>
          </cell>
        </row>
        <row r="2811">
          <cell r="A2811" t="str">
            <v>Enter activity Code first</v>
          </cell>
        </row>
        <row r="2813">
          <cell r="A2813" t="str">
            <v>Multi-Year Budget Sub Activities</v>
          </cell>
        </row>
        <row r="2822">
          <cell r="A2822" t="str">
            <v xml:space="preserve"> Sub total Year One</v>
          </cell>
        </row>
        <row r="2830">
          <cell r="A2830" t="str">
            <v>Enter activity Code first</v>
          </cell>
        </row>
        <row r="2832">
          <cell r="A2832" t="str">
            <v>Multi-Year Budget Sub Activities</v>
          </cell>
        </row>
        <row r="2841">
          <cell r="A2841" t="str">
            <v xml:space="preserve"> Sub total Year One</v>
          </cell>
        </row>
        <row r="2848">
          <cell r="A2848" t="str">
            <v>Enter activity Code first</v>
          </cell>
        </row>
        <row r="2850">
          <cell r="A2850" t="str">
            <v>Multi-Year Budget Sub Activities</v>
          </cell>
        </row>
        <row r="2859">
          <cell r="A2859" t="str">
            <v xml:space="preserve"> Sub total Year One</v>
          </cell>
        </row>
        <row r="2866">
          <cell r="A2866" t="str">
            <v>Enter activity Code first</v>
          </cell>
        </row>
        <row r="2868">
          <cell r="A2868" t="str">
            <v>Multi-Year Budget Sub Activities</v>
          </cell>
        </row>
        <row r="2877">
          <cell r="A2877" t="str">
            <v xml:space="preserve"> Sub total Year One</v>
          </cell>
        </row>
        <row r="2884">
          <cell r="A2884" t="str">
            <v>Enter activity Code first</v>
          </cell>
        </row>
        <row r="2886">
          <cell r="A2886" t="str">
            <v>Multi-Year Budget Sub Activities</v>
          </cell>
        </row>
        <row r="2895">
          <cell r="A2895" t="str">
            <v xml:space="preserve"> Sub total Year One</v>
          </cell>
        </row>
        <row r="2902">
          <cell r="A2902" t="str">
            <v>Not Specified</v>
          </cell>
        </row>
        <row r="2904">
          <cell r="A2904" t="str">
            <v>Multi-Year Budget Sub Activities</v>
          </cell>
        </row>
        <row r="2913">
          <cell r="A2913" t="str">
            <v xml:space="preserve"> Sub total Year One</v>
          </cell>
        </row>
        <row r="2921">
          <cell r="A2921" t="str">
            <v>Not Specified</v>
          </cell>
        </row>
        <row r="2923">
          <cell r="A2923" t="str">
            <v>Multi-Year Budget Sub Activities</v>
          </cell>
        </row>
        <row r="2932">
          <cell r="A2932" t="str">
            <v xml:space="preserve"> Sub total Year One</v>
          </cell>
        </row>
        <row r="2939">
          <cell r="A2939" t="str">
            <v>Not Specified</v>
          </cell>
        </row>
        <row r="2941">
          <cell r="A2941" t="str">
            <v>Multi-Year Budget Sub Activities</v>
          </cell>
        </row>
        <row r="2950">
          <cell r="A2950" t="str">
            <v xml:space="preserve"> Sub total Year One</v>
          </cell>
        </row>
        <row r="2957">
          <cell r="A2957" t="str">
            <v>Enter activity Code first</v>
          </cell>
        </row>
        <row r="2959">
          <cell r="A2959" t="str">
            <v>Multi-Year Budget Sub Activities</v>
          </cell>
        </row>
        <row r="2968">
          <cell r="A2968" t="str">
            <v xml:space="preserve"> Sub total Year One</v>
          </cell>
        </row>
        <row r="2975">
          <cell r="A2975" t="str">
            <v>Enter activity Code first</v>
          </cell>
        </row>
        <row r="2977">
          <cell r="A2977" t="str">
            <v>Multi-Year Budget Sub Activities</v>
          </cell>
        </row>
        <row r="2986">
          <cell r="A2986" t="str">
            <v xml:space="preserve"> Sub total Year One</v>
          </cell>
        </row>
        <row r="2993">
          <cell r="A2993" t="str">
            <v>Not Specified</v>
          </cell>
        </row>
        <row r="2995">
          <cell r="A2995" t="str">
            <v>Multi-Year Budget Sub Activities</v>
          </cell>
        </row>
        <row r="3004">
          <cell r="A3004" t="str">
            <v xml:space="preserve"> Sub total Year One</v>
          </cell>
        </row>
        <row r="3012">
          <cell r="A3012" t="str">
            <v>Enter activity Code first</v>
          </cell>
        </row>
        <row r="3014">
          <cell r="A3014" t="str">
            <v>Multi-Year Budget Sub Activities</v>
          </cell>
        </row>
        <row r="3023">
          <cell r="A3023" t="str">
            <v xml:space="preserve"> Sub total Year One</v>
          </cell>
        </row>
        <row r="3030">
          <cell r="A3030" t="str">
            <v>Enter activity Code first</v>
          </cell>
        </row>
        <row r="3032">
          <cell r="A3032" t="str">
            <v>Multi-Year Budget Sub Activities</v>
          </cell>
        </row>
        <row r="3041">
          <cell r="A3041" t="str">
            <v xml:space="preserve"> Sub total Year One</v>
          </cell>
        </row>
        <row r="3048">
          <cell r="A3048" t="str">
            <v>Enter activity Code first</v>
          </cell>
        </row>
        <row r="3050">
          <cell r="A3050" t="str">
            <v>Multi-Year Budget Sub Activities</v>
          </cell>
        </row>
        <row r="3059">
          <cell r="A3059" t="str">
            <v xml:space="preserve"> Sub total Year One</v>
          </cell>
        </row>
        <row r="3066">
          <cell r="A3066" t="str">
            <v>Enter activity Code first</v>
          </cell>
        </row>
        <row r="3068">
          <cell r="A3068" t="str">
            <v>Multi-Year Budget Sub Activities</v>
          </cell>
        </row>
        <row r="3077">
          <cell r="A3077" t="str">
            <v xml:space="preserve"> Sub total Year One</v>
          </cell>
        </row>
        <row r="3084">
          <cell r="A3084" t="str">
            <v>Enter activity Code first</v>
          </cell>
        </row>
        <row r="3086">
          <cell r="A3086" t="str">
            <v>Multi-Year Budget Sub Activities</v>
          </cell>
        </row>
        <row r="3095">
          <cell r="A3095" t="str">
            <v xml:space="preserve"> Sub total Year One</v>
          </cell>
        </row>
        <row r="3103">
          <cell r="A3103" t="str">
            <v>Enter activity Code first</v>
          </cell>
        </row>
        <row r="3105">
          <cell r="A3105" t="str">
            <v>Multi-Year Budget Sub Activities</v>
          </cell>
        </row>
        <row r="3114">
          <cell r="A3114" t="str">
            <v xml:space="preserve"> Sub total Year One</v>
          </cell>
        </row>
        <row r="3121">
          <cell r="A3121" t="str">
            <v>Enter activity Code first</v>
          </cell>
        </row>
        <row r="3123">
          <cell r="A3123" t="str">
            <v>Multi-Year Budget Sub Activities</v>
          </cell>
        </row>
        <row r="3132">
          <cell r="A3132" t="str">
            <v xml:space="preserve"> Sub total Year One</v>
          </cell>
        </row>
        <row r="3139">
          <cell r="A3139" t="str">
            <v>Enter activity Code first</v>
          </cell>
        </row>
        <row r="3141">
          <cell r="A3141" t="str">
            <v>Multi-Year Budget Sub Activities</v>
          </cell>
        </row>
        <row r="3150">
          <cell r="A3150" t="str">
            <v xml:space="preserve"> Sub total Year One</v>
          </cell>
        </row>
        <row r="3157">
          <cell r="A3157" t="str">
            <v>Enter activity Code first</v>
          </cell>
        </row>
        <row r="3159">
          <cell r="A3159" t="str">
            <v>Multi-Year Budget Sub Activities</v>
          </cell>
        </row>
        <row r="3168">
          <cell r="A3168" t="str">
            <v xml:space="preserve"> Sub total Year One</v>
          </cell>
        </row>
        <row r="3175">
          <cell r="A3175" t="str">
            <v>Enter activity Code first</v>
          </cell>
        </row>
        <row r="3177">
          <cell r="A3177" t="str">
            <v>Multi-Year Budget Sub Activities</v>
          </cell>
        </row>
        <row r="3186">
          <cell r="A3186" t="str">
            <v xml:space="preserve"> Sub total Year One</v>
          </cell>
        </row>
        <row r="3194">
          <cell r="A3194" t="str">
            <v>Enter activity Code first</v>
          </cell>
        </row>
        <row r="3196">
          <cell r="A3196" t="str">
            <v>Multi-Year Budget Sub Activities</v>
          </cell>
        </row>
        <row r="3205">
          <cell r="A3205" t="str">
            <v xml:space="preserve"> Sub total Year One</v>
          </cell>
        </row>
        <row r="3212">
          <cell r="A3212" t="str">
            <v>Enter activity Code first</v>
          </cell>
        </row>
        <row r="3214">
          <cell r="A3214" t="str">
            <v>Multi-Year Budget Sub Activities</v>
          </cell>
        </row>
        <row r="3223">
          <cell r="A3223" t="str">
            <v xml:space="preserve"> Sub total Year One</v>
          </cell>
        </row>
        <row r="3230">
          <cell r="A3230" t="str">
            <v>Enter activity Code first</v>
          </cell>
        </row>
        <row r="3232">
          <cell r="A3232" t="str">
            <v>Multi-Year Budget Sub Activities</v>
          </cell>
        </row>
        <row r="3241">
          <cell r="A3241" t="str">
            <v xml:space="preserve"> Sub total Year One</v>
          </cell>
        </row>
        <row r="3248">
          <cell r="A3248" t="str">
            <v>Enter activity Code first</v>
          </cell>
        </row>
        <row r="3250">
          <cell r="A3250" t="str">
            <v>Multi-Year Budget Sub Activities</v>
          </cell>
        </row>
        <row r="3259">
          <cell r="A3259" t="str">
            <v xml:space="preserve"> Sub total Year One</v>
          </cell>
        </row>
        <row r="3266">
          <cell r="A3266" t="str">
            <v>Enter activity Code first</v>
          </cell>
        </row>
        <row r="3268">
          <cell r="A3268" t="str">
            <v>Multi-Year Budget Sub Activities</v>
          </cell>
        </row>
        <row r="3277">
          <cell r="A3277" t="str">
            <v xml:space="preserve"> Sub total Year One</v>
          </cell>
        </row>
        <row r="3285">
          <cell r="A3285" t="str">
            <v>Enter activity Code first</v>
          </cell>
        </row>
        <row r="3287">
          <cell r="A3287" t="str">
            <v>Multi-Year Budget Sub Activities</v>
          </cell>
        </row>
        <row r="3296">
          <cell r="A3296" t="str">
            <v xml:space="preserve"> Sub total Year One</v>
          </cell>
        </row>
        <row r="3303">
          <cell r="A3303" t="str">
            <v>Enter activity Code first</v>
          </cell>
        </row>
        <row r="3305">
          <cell r="A3305" t="str">
            <v>Multi-Year Budget Sub Activities</v>
          </cell>
        </row>
        <row r="3314">
          <cell r="A3314" t="str">
            <v xml:space="preserve"> Sub total Year One</v>
          </cell>
        </row>
        <row r="3321">
          <cell r="A3321" t="str">
            <v>Enter activity Code first</v>
          </cell>
        </row>
        <row r="3323">
          <cell r="A3323" t="str">
            <v>Multi-Year Budget Sub Activities</v>
          </cell>
        </row>
        <row r="3332">
          <cell r="A3332" t="str">
            <v xml:space="preserve"> Sub total Year One</v>
          </cell>
        </row>
        <row r="3339">
          <cell r="A3339" t="str">
            <v>Enter activity Code first</v>
          </cell>
        </row>
        <row r="3341">
          <cell r="A3341" t="str">
            <v>Multi-Year Budget Sub Activities</v>
          </cell>
        </row>
        <row r="3350">
          <cell r="A3350" t="str">
            <v xml:space="preserve"> Sub total Year One</v>
          </cell>
        </row>
        <row r="3357">
          <cell r="A3357" t="str">
            <v>Enter activity Code first</v>
          </cell>
        </row>
        <row r="3359">
          <cell r="A3359" t="str">
            <v>Multi-Year Budget Sub Activities</v>
          </cell>
        </row>
        <row r="3368">
          <cell r="A3368" t="str">
            <v xml:space="preserve"> Sub total Year One</v>
          </cell>
        </row>
        <row r="3376">
          <cell r="A3376" t="str">
            <v>Enter activity Code first</v>
          </cell>
        </row>
        <row r="3378">
          <cell r="A3378" t="str">
            <v>Multi-Year Budget Sub Activities</v>
          </cell>
        </row>
        <row r="3387">
          <cell r="A3387" t="str">
            <v xml:space="preserve"> Sub total Year One</v>
          </cell>
        </row>
        <row r="3394">
          <cell r="A3394" t="str">
            <v>Enter activity Code first</v>
          </cell>
        </row>
        <row r="3396">
          <cell r="A3396" t="str">
            <v>Multi-Year Budget Sub Activities</v>
          </cell>
        </row>
        <row r="3405">
          <cell r="A3405" t="str">
            <v xml:space="preserve"> Sub total Year One</v>
          </cell>
        </row>
        <row r="3412">
          <cell r="A3412" t="str">
            <v>Enter activity Code first</v>
          </cell>
        </row>
        <row r="3414">
          <cell r="A3414" t="str">
            <v>Multi-Year Budget Sub Activities</v>
          </cell>
        </row>
        <row r="3423">
          <cell r="A3423" t="str">
            <v xml:space="preserve"> Sub total Year One</v>
          </cell>
        </row>
        <row r="3430">
          <cell r="A3430" t="str">
            <v>Enter activity Code first</v>
          </cell>
        </row>
        <row r="3432">
          <cell r="A3432" t="str">
            <v>Multi-Year Budget Sub Activities</v>
          </cell>
        </row>
        <row r="3441">
          <cell r="A3441" t="str">
            <v xml:space="preserve"> Sub total Year One</v>
          </cell>
        </row>
        <row r="3448">
          <cell r="A3448" t="str">
            <v>Enter activity Code first</v>
          </cell>
        </row>
        <row r="3450">
          <cell r="A3450" t="str">
            <v>Multi-Year Budget Sub Activities</v>
          </cell>
        </row>
        <row r="3459">
          <cell r="A3459" t="str">
            <v xml:space="preserve"> Sub total Year One</v>
          </cell>
        </row>
        <row r="3467">
          <cell r="A3467" t="str">
            <v>Enter activity Code first</v>
          </cell>
        </row>
        <row r="3469">
          <cell r="A3469" t="str">
            <v>Multi-Year Budget Sub Activities</v>
          </cell>
        </row>
        <row r="3478">
          <cell r="A3478" t="str">
            <v xml:space="preserve"> Sub total Year One</v>
          </cell>
        </row>
        <row r="3485">
          <cell r="A3485" t="str">
            <v>Enter activity Code first</v>
          </cell>
        </row>
        <row r="3487">
          <cell r="A3487" t="str">
            <v>Multi-Year Budget Sub Activities</v>
          </cell>
        </row>
        <row r="3496">
          <cell r="A3496" t="str">
            <v xml:space="preserve"> Sub total Year One</v>
          </cell>
        </row>
        <row r="3503">
          <cell r="A3503" t="str">
            <v>Enter activity Code first</v>
          </cell>
        </row>
        <row r="3505">
          <cell r="A3505" t="str">
            <v>Multi-Year Budget Sub Activities</v>
          </cell>
        </row>
        <row r="3514">
          <cell r="A3514" t="str">
            <v xml:space="preserve"> Sub total Year One</v>
          </cell>
        </row>
        <row r="3521">
          <cell r="A3521" t="str">
            <v>Enter activity Code first</v>
          </cell>
        </row>
        <row r="3523">
          <cell r="A3523" t="str">
            <v>Multi-Year Budget Sub Activities</v>
          </cell>
        </row>
        <row r="3532">
          <cell r="A3532" t="str">
            <v xml:space="preserve"> Sub total Year One</v>
          </cell>
        </row>
        <row r="3539">
          <cell r="A3539" t="str">
            <v>Enter activity Code first</v>
          </cell>
        </row>
        <row r="3541">
          <cell r="A3541" t="str">
            <v>Multi-Year Budget Sub Activities</v>
          </cell>
        </row>
        <row r="3550">
          <cell r="A3550" t="str">
            <v xml:space="preserve"> Sub total Year One</v>
          </cell>
        </row>
        <row r="3558">
          <cell r="A3558" t="str">
            <v>Enter activity Code first</v>
          </cell>
        </row>
        <row r="3560">
          <cell r="A3560" t="str">
            <v>Multi-Year Budget Sub Activities</v>
          </cell>
        </row>
        <row r="3569">
          <cell r="A3569" t="str">
            <v xml:space="preserve"> Sub total Year One</v>
          </cell>
        </row>
        <row r="3576">
          <cell r="A3576" t="str">
            <v>Enter activity Code first</v>
          </cell>
        </row>
        <row r="3578">
          <cell r="A3578" t="str">
            <v>Multi-Year Budget Sub Activities</v>
          </cell>
        </row>
        <row r="3587">
          <cell r="A3587" t="str">
            <v xml:space="preserve"> Sub total Year One</v>
          </cell>
        </row>
        <row r="3594">
          <cell r="A3594" t="str">
            <v>Enter activity Code first</v>
          </cell>
        </row>
        <row r="3596">
          <cell r="A3596" t="str">
            <v>Multi-Year Budget Sub Activities</v>
          </cell>
        </row>
        <row r="3605">
          <cell r="A3605" t="str">
            <v xml:space="preserve"> Sub total Year One</v>
          </cell>
        </row>
        <row r="3612">
          <cell r="A3612" t="str">
            <v>Enter activity Code first</v>
          </cell>
        </row>
        <row r="3614">
          <cell r="A3614" t="str">
            <v>Multi-Year Budget Sub Activities</v>
          </cell>
        </row>
        <row r="3623">
          <cell r="A3623" t="str">
            <v xml:space="preserve"> Sub total Year One</v>
          </cell>
        </row>
        <row r="3630">
          <cell r="A3630" t="str">
            <v>Enter activity Code first</v>
          </cell>
        </row>
        <row r="3632">
          <cell r="A3632" t="str">
            <v>Multi-Year Budget Sub Activities</v>
          </cell>
        </row>
        <row r="3641">
          <cell r="A3641" t="str">
            <v xml:space="preserve"> Sub total Year One</v>
          </cell>
        </row>
        <row r="3649">
          <cell r="A3649" t="str">
            <v>Enter activity Code first</v>
          </cell>
        </row>
        <row r="3651">
          <cell r="A3651" t="str">
            <v>Multi-Year Budget Sub Activities</v>
          </cell>
        </row>
        <row r="3660">
          <cell r="A3660" t="str">
            <v xml:space="preserve"> Sub total Year One</v>
          </cell>
        </row>
        <row r="3667">
          <cell r="A3667" t="str">
            <v>Enter activity Code first</v>
          </cell>
        </row>
        <row r="3669">
          <cell r="A3669" t="str">
            <v>Multi-Year Budget Sub Activities</v>
          </cell>
        </row>
        <row r="3678">
          <cell r="A3678" t="str">
            <v xml:space="preserve"> Sub total Year One</v>
          </cell>
        </row>
        <row r="3685">
          <cell r="A3685" t="str">
            <v>Enter activity Code first</v>
          </cell>
        </row>
        <row r="3687">
          <cell r="A3687" t="str">
            <v>Multi-Year Budget Sub Activities</v>
          </cell>
        </row>
        <row r="3696">
          <cell r="A3696" t="str">
            <v xml:space="preserve"> Sub total Year One</v>
          </cell>
        </row>
        <row r="3703">
          <cell r="A3703" t="str">
            <v>Enter activity Code first</v>
          </cell>
        </row>
        <row r="3705">
          <cell r="A3705" t="str">
            <v>Multi-Year Budget Sub Activities</v>
          </cell>
        </row>
        <row r="3714">
          <cell r="A3714" t="str">
            <v xml:space="preserve"> Sub total Year One</v>
          </cell>
        </row>
        <row r="3721">
          <cell r="A3721" t="str">
            <v>Enter activity Code first</v>
          </cell>
        </row>
        <row r="3723">
          <cell r="A3723" t="str">
            <v>Multi-Year Budget Sub Activities</v>
          </cell>
        </row>
        <row r="3732">
          <cell r="A3732" t="str">
            <v xml:space="preserve"> Sub total Year One</v>
          </cell>
        </row>
        <row r="3740">
          <cell r="A3740" t="str">
            <v>Enter activity Code first</v>
          </cell>
        </row>
        <row r="3742">
          <cell r="A3742" t="str">
            <v>Multi-Year Budget Sub Activities</v>
          </cell>
        </row>
        <row r="3751">
          <cell r="A3751" t="str">
            <v xml:space="preserve"> Sub total Year One</v>
          </cell>
        </row>
        <row r="3758">
          <cell r="A3758" t="str">
            <v>Enter activity Code first</v>
          </cell>
        </row>
        <row r="3760">
          <cell r="A3760" t="str">
            <v>Multi-Year Budget Sub Activities</v>
          </cell>
        </row>
        <row r="3769">
          <cell r="A3769" t="str">
            <v xml:space="preserve"> Sub total Year One</v>
          </cell>
        </row>
        <row r="3776">
          <cell r="A3776" t="str">
            <v>Enter activity Code first</v>
          </cell>
        </row>
        <row r="3778">
          <cell r="A3778" t="str">
            <v>Multi-Year Budget Sub Activities</v>
          </cell>
        </row>
        <row r="3787">
          <cell r="A3787" t="str">
            <v xml:space="preserve"> Sub total Year One</v>
          </cell>
        </row>
        <row r="3794">
          <cell r="A3794" t="str">
            <v>Enter activity Code first</v>
          </cell>
        </row>
        <row r="3796">
          <cell r="A3796" t="str">
            <v>Multi-Year Budget Sub Activities</v>
          </cell>
        </row>
        <row r="3805">
          <cell r="A3805" t="str">
            <v xml:space="preserve"> Sub total Year One</v>
          </cell>
        </row>
        <row r="3812">
          <cell r="A3812" t="str">
            <v>Enter activity Code first</v>
          </cell>
        </row>
        <row r="3814">
          <cell r="A3814" t="str">
            <v>Multi-Year Budget Sub Activities</v>
          </cell>
        </row>
        <row r="3823">
          <cell r="A3823" t="str">
            <v xml:space="preserve"> Sub total Year One</v>
          </cell>
        </row>
        <row r="3831">
          <cell r="A3831" t="str">
            <v>Enter activity Code first</v>
          </cell>
        </row>
        <row r="3833">
          <cell r="A3833" t="str">
            <v>Multi-Year Budget Sub Activities</v>
          </cell>
        </row>
        <row r="3842">
          <cell r="A3842" t="str">
            <v xml:space="preserve"> Sub total Year One</v>
          </cell>
        </row>
        <row r="3849">
          <cell r="A3849" t="str">
            <v>Enter activity Code first</v>
          </cell>
        </row>
        <row r="3851">
          <cell r="A3851" t="str">
            <v>Multi-Year Budget Sub Activities</v>
          </cell>
        </row>
        <row r="3860">
          <cell r="A3860" t="str">
            <v xml:space="preserve"> Sub total Year One</v>
          </cell>
        </row>
        <row r="3867">
          <cell r="A3867" t="str">
            <v>Enter activity Code first</v>
          </cell>
        </row>
        <row r="3869">
          <cell r="A3869" t="str">
            <v>Multi-Year Budget Sub Activities</v>
          </cell>
        </row>
        <row r="3878">
          <cell r="A3878" t="str">
            <v xml:space="preserve"> Sub total Year One</v>
          </cell>
        </row>
        <row r="3885">
          <cell r="A3885" t="str">
            <v>Enter activity Code first</v>
          </cell>
        </row>
        <row r="3887">
          <cell r="A3887" t="str">
            <v>Multi-Year Budget Sub Activities</v>
          </cell>
        </row>
        <row r="3896">
          <cell r="A3896" t="str">
            <v xml:space="preserve"> Sub total Year One</v>
          </cell>
        </row>
        <row r="3903">
          <cell r="A3903" t="str">
            <v>Enter activity Code first</v>
          </cell>
        </row>
        <row r="3905">
          <cell r="A3905" t="str">
            <v>Multi-Year Budget Sub Activities</v>
          </cell>
        </row>
        <row r="3914">
          <cell r="A3914" t="str">
            <v xml:space="preserve"> Sub total Year One</v>
          </cell>
        </row>
        <row r="3922">
          <cell r="A3922" t="str">
            <v>Enter activity Code first</v>
          </cell>
        </row>
        <row r="3924">
          <cell r="A3924" t="str">
            <v>Multi-Year Budget Sub Activities</v>
          </cell>
        </row>
        <row r="3933">
          <cell r="A3933" t="str">
            <v xml:space="preserve"> Sub total Year One</v>
          </cell>
        </row>
        <row r="3940">
          <cell r="A3940" t="str">
            <v>Enter activity Code first</v>
          </cell>
        </row>
        <row r="3942">
          <cell r="A3942" t="str">
            <v>Multi-Year Budget Sub Activities</v>
          </cell>
        </row>
        <row r="3951">
          <cell r="A3951" t="str">
            <v xml:space="preserve"> Sub total Year One</v>
          </cell>
        </row>
        <row r="3958">
          <cell r="A3958" t="str">
            <v>Enter activity Code first</v>
          </cell>
        </row>
        <row r="3960">
          <cell r="A3960" t="str">
            <v>Multi-Year Budget Sub Activities</v>
          </cell>
        </row>
        <row r="3969">
          <cell r="A3969" t="str">
            <v xml:space="preserve"> Sub total Year One</v>
          </cell>
        </row>
        <row r="3976">
          <cell r="A3976" t="str">
            <v>Enter activity Code first</v>
          </cell>
        </row>
        <row r="3978">
          <cell r="A3978" t="str">
            <v>Multi-Year Budget Sub Activities</v>
          </cell>
        </row>
        <row r="3987">
          <cell r="A3987" t="str">
            <v xml:space="preserve"> Sub total Year One</v>
          </cell>
        </row>
        <row r="3994">
          <cell r="A3994" t="str">
            <v>Enter activity Code first</v>
          </cell>
        </row>
        <row r="3996">
          <cell r="A3996" t="str">
            <v>Multi-Year Budget Sub Activities</v>
          </cell>
        </row>
        <row r="4005">
          <cell r="A4005" t="str">
            <v xml:space="preserve"> Sub total Year One</v>
          </cell>
        </row>
        <row r="4013">
          <cell r="A4013" t="str">
            <v>Enter activity Code first</v>
          </cell>
        </row>
        <row r="4015">
          <cell r="A4015" t="str">
            <v>Multi-Year Budget Sub Activities</v>
          </cell>
        </row>
        <row r="4024">
          <cell r="A4024" t="str">
            <v xml:space="preserve"> Sub total Year One</v>
          </cell>
        </row>
        <row r="4031">
          <cell r="A4031" t="str">
            <v>Enter activity Code first</v>
          </cell>
        </row>
        <row r="4033">
          <cell r="A4033" t="str">
            <v>Multi-Year Budget Sub Activities</v>
          </cell>
        </row>
        <row r="4042">
          <cell r="A4042" t="str">
            <v xml:space="preserve"> Sub total Year One</v>
          </cell>
        </row>
        <row r="4049">
          <cell r="A4049" t="str">
            <v>Enter activity Code first</v>
          </cell>
        </row>
        <row r="4051">
          <cell r="A4051" t="str">
            <v>Multi-Year Budget Sub Activities</v>
          </cell>
        </row>
        <row r="4060">
          <cell r="A4060" t="str">
            <v xml:space="preserve"> Sub total Year One</v>
          </cell>
        </row>
        <row r="4067">
          <cell r="A4067" t="str">
            <v>Enter activity Code first</v>
          </cell>
        </row>
        <row r="4069">
          <cell r="A4069" t="str">
            <v>Multi-Year Budget Sub Activities</v>
          </cell>
        </row>
        <row r="4078">
          <cell r="A4078" t="str">
            <v xml:space="preserve"> Sub total Year One</v>
          </cell>
        </row>
        <row r="4085">
          <cell r="A4085" t="str">
            <v>Enter activity Code first</v>
          </cell>
        </row>
        <row r="4087">
          <cell r="A4087" t="str">
            <v>Multi-Year Budget Sub Activities</v>
          </cell>
        </row>
        <row r="4096">
          <cell r="A4096" t="str">
            <v xml:space="preserve"> Sub total Year One</v>
          </cell>
        </row>
        <row r="4104">
          <cell r="A4104" t="str">
            <v>Enter activity Code first</v>
          </cell>
        </row>
        <row r="4106">
          <cell r="A4106" t="str">
            <v>Multi-Year Budget Sub Activities</v>
          </cell>
        </row>
        <row r="4115">
          <cell r="A4115" t="str">
            <v xml:space="preserve"> Sub total Year One</v>
          </cell>
        </row>
        <row r="4122">
          <cell r="A4122" t="str">
            <v>Enter activity Code first</v>
          </cell>
        </row>
        <row r="4124">
          <cell r="A4124" t="str">
            <v>Multi-Year Budget Sub Activities</v>
          </cell>
        </row>
        <row r="4133">
          <cell r="A4133" t="str">
            <v xml:space="preserve"> Sub total Year One</v>
          </cell>
        </row>
        <row r="4140">
          <cell r="A4140" t="str">
            <v>Enter activity Code first</v>
          </cell>
        </row>
        <row r="4142">
          <cell r="A4142" t="str">
            <v>Multi-Year Budget Sub Activities</v>
          </cell>
        </row>
        <row r="4151">
          <cell r="A4151" t="str">
            <v xml:space="preserve"> Sub total Year One</v>
          </cell>
        </row>
        <row r="4158">
          <cell r="A4158" t="str">
            <v>Enter activity Code first</v>
          </cell>
        </row>
        <row r="4160">
          <cell r="A4160" t="str">
            <v>Multi-Year Budget Sub Activities</v>
          </cell>
        </row>
        <row r="4169">
          <cell r="A4169" t="str">
            <v xml:space="preserve"> Sub total Year One</v>
          </cell>
        </row>
        <row r="4176">
          <cell r="A4176" t="str">
            <v>Enter activity Code first</v>
          </cell>
        </row>
        <row r="4178">
          <cell r="A4178" t="str">
            <v>Multi-Year Budget Sub Activities</v>
          </cell>
        </row>
        <row r="4187">
          <cell r="A4187" t="str">
            <v xml:space="preserve"> Sub total Year One</v>
          </cell>
        </row>
        <row r="4195">
          <cell r="A4195" t="str">
            <v>Enter activity Code first</v>
          </cell>
        </row>
        <row r="4197">
          <cell r="A4197" t="str">
            <v>Multi-Year Budget Sub Activities</v>
          </cell>
        </row>
        <row r="4206">
          <cell r="A4206" t="str">
            <v xml:space="preserve"> Sub total Year One</v>
          </cell>
        </row>
        <row r="4213">
          <cell r="A4213" t="str">
            <v>Enter activity Code first</v>
          </cell>
        </row>
        <row r="4215">
          <cell r="A4215" t="str">
            <v>Multi-Year Budget Sub Activities</v>
          </cell>
        </row>
        <row r="4224">
          <cell r="A4224" t="str">
            <v xml:space="preserve"> Sub total Year One</v>
          </cell>
        </row>
        <row r="4231">
          <cell r="A4231" t="str">
            <v>Enter activity Code first</v>
          </cell>
        </row>
        <row r="4233">
          <cell r="A4233" t="str">
            <v>Multi-Year Budget Sub Activities</v>
          </cell>
        </row>
        <row r="4242">
          <cell r="A4242" t="str">
            <v xml:space="preserve"> Sub total Year One</v>
          </cell>
        </row>
        <row r="4249">
          <cell r="A4249" t="str">
            <v>Enter activity Code first</v>
          </cell>
        </row>
        <row r="4251">
          <cell r="A4251" t="str">
            <v>Multi-Year Budget Sub Activities</v>
          </cell>
        </row>
        <row r="4260">
          <cell r="A4260" t="str">
            <v xml:space="preserve"> Sub total Year One</v>
          </cell>
        </row>
        <row r="4267">
          <cell r="A4267" t="str">
            <v>Enter activity Code first</v>
          </cell>
        </row>
        <row r="4269">
          <cell r="A4269" t="str">
            <v>Multi-Year Budget Sub Activities</v>
          </cell>
        </row>
        <row r="4278">
          <cell r="A4278" t="str">
            <v xml:space="preserve"> Sub total Year One</v>
          </cell>
        </row>
        <row r="4286">
          <cell r="A4286" t="str">
            <v>Enter activity Code first</v>
          </cell>
        </row>
        <row r="4288">
          <cell r="A4288" t="str">
            <v>Multi-Year Budget Sub Activities</v>
          </cell>
        </row>
        <row r="4297">
          <cell r="A4297" t="str">
            <v xml:space="preserve"> Sub total Year One</v>
          </cell>
        </row>
        <row r="4304">
          <cell r="A4304" t="str">
            <v>Enter activity Code first</v>
          </cell>
        </row>
        <row r="4306">
          <cell r="A4306" t="str">
            <v>Multi-Year Budget Sub Activities</v>
          </cell>
        </row>
        <row r="4315">
          <cell r="A4315" t="str">
            <v xml:space="preserve"> Sub total Year One</v>
          </cell>
        </row>
        <row r="4322">
          <cell r="A4322" t="str">
            <v>Enter activity Code first</v>
          </cell>
        </row>
        <row r="4324">
          <cell r="A4324" t="str">
            <v>Multi-Year Budget Sub Activities</v>
          </cell>
        </row>
        <row r="4333">
          <cell r="A4333" t="str">
            <v xml:space="preserve"> Sub total Year One</v>
          </cell>
        </row>
        <row r="4340">
          <cell r="A4340" t="str">
            <v>Enter activity Code first</v>
          </cell>
        </row>
        <row r="4342">
          <cell r="A4342" t="str">
            <v>Multi-Year Budget Sub Activities</v>
          </cell>
        </row>
        <row r="4351">
          <cell r="A4351" t="str">
            <v xml:space="preserve"> Sub total Year One</v>
          </cell>
        </row>
        <row r="4358">
          <cell r="A4358" t="str">
            <v>Enter activity Code first</v>
          </cell>
        </row>
        <row r="4360">
          <cell r="A4360" t="str">
            <v>Multi-Year Budget Sub Activities</v>
          </cell>
        </row>
        <row r="4369">
          <cell r="A4369" t="str">
            <v xml:space="preserve"> Sub total Year One</v>
          </cell>
        </row>
        <row r="4377">
          <cell r="A4377" t="str">
            <v>Enter activity Code first</v>
          </cell>
        </row>
        <row r="4379">
          <cell r="A4379" t="str">
            <v>Multi-Year Budget Sub Activities</v>
          </cell>
        </row>
        <row r="4388">
          <cell r="A4388" t="str">
            <v xml:space="preserve"> Sub total Year One</v>
          </cell>
        </row>
        <row r="4395">
          <cell r="A4395" t="str">
            <v>Enter activity Code first</v>
          </cell>
        </row>
        <row r="4397">
          <cell r="A4397" t="str">
            <v>Multi-Year Budget Sub Activities</v>
          </cell>
        </row>
        <row r="4406">
          <cell r="A4406" t="str">
            <v xml:space="preserve"> Sub total Year One</v>
          </cell>
        </row>
        <row r="4413">
          <cell r="A4413" t="str">
            <v>Enter activity Code first</v>
          </cell>
        </row>
        <row r="4415">
          <cell r="A4415" t="str">
            <v>Multi-Year Budget Sub Activities</v>
          </cell>
        </row>
        <row r="4424">
          <cell r="A4424" t="str">
            <v xml:space="preserve"> Sub total Year One</v>
          </cell>
        </row>
        <row r="4431">
          <cell r="A4431" t="str">
            <v>Enter activity Code first</v>
          </cell>
        </row>
        <row r="4433">
          <cell r="A4433" t="str">
            <v>Multi-Year Budget Sub Activities</v>
          </cell>
        </row>
        <row r="4442">
          <cell r="A4442" t="str">
            <v xml:space="preserve"> Sub total Year One</v>
          </cell>
        </row>
        <row r="4449">
          <cell r="A4449" t="str">
            <v>Enter activity Code first</v>
          </cell>
        </row>
        <row r="4451">
          <cell r="A4451" t="str">
            <v>Multi-Year Budget Sub Activities</v>
          </cell>
        </row>
        <row r="4460">
          <cell r="A4460" t="str">
            <v xml:space="preserve"> Sub total Year One</v>
          </cell>
        </row>
        <row r="4468">
          <cell r="A4468" t="str">
            <v>Enter activity Code first</v>
          </cell>
        </row>
        <row r="4470">
          <cell r="A4470" t="str">
            <v>Multi-Year Budget Sub Activities</v>
          </cell>
        </row>
        <row r="4479">
          <cell r="A4479" t="str">
            <v xml:space="preserve"> Sub total Year One</v>
          </cell>
        </row>
        <row r="4486">
          <cell r="A4486" t="str">
            <v>Enter activity Code first</v>
          </cell>
        </row>
        <row r="4488">
          <cell r="A4488" t="str">
            <v>Multi-Year Budget Sub Activities</v>
          </cell>
        </row>
        <row r="4497">
          <cell r="A4497" t="str">
            <v xml:space="preserve"> Sub total Year One</v>
          </cell>
        </row>
        <row r="4504">
          <cell r="A4504" t="str">
            <v>Enter activity Code first</v>
          </cell>
        </row>
        <row r="4506">
          <cell r="A4506" t="str">
            <v>Multi-Year Budget Sub Activities</v>
          </cell>
        </row>
        <row r="4515">
          <cell r="A4515" t="str">
            <v xml:space="preserve"> Sub total Year One</v>
          </cell>
        </row>
        <row r="4522">
          <cell r="A4522" t="str">
            <v>Enter activity Code first</v>
          </cell>
        </row>
        <row r="4524">
          <cell r="A4524" t="str">
            <v>Multi-Year Budget Sub Activities</v>
          </cell>
        </row>
        <row r="4533">
          <cell r="A4533" t="str">
            <v xml:space="preserve"> Sub total Year One</v>
          </cell>
        </row>
        <row r="4540">
          <cell r="A4540" t="str">
            <v>Enter activity Code first</v>
          </cell>
        </row>
        <row r="4542">
          <cell r="A4542" t="str">
            <v>Multi-Year Budget Sub Activities</v>
          </cell>
        </row>
        <row r="4551">
          <cell r="A4551" t="str">
            <v xml:space="preserve"> Sub total Year One</v>
          </cell>
        </row>
        <row r="4559">
          <cell r="A4559" t="str">
            <v>Enter activity Code first</v>
          </cell>
        </row>
        <row r="4561">
          <cell r="A4561" t="str">
            <v>Multi-Year Budget Sub Activities</v>
          </cell>
        </row>
        <row r="4570">
          <cell r="A4570" t="str">
            <v xml:space="preserve"> Sub total Year One</v>
          </cell>
        </row>
        <row r="4577">
          <cell r="A4577" t="str">
            <v>Enter activity Code first</v>
          </cell>
        </row>
        <row r="4579">
          <cell r="A4579" t="str">
            <v>Multi-Year Budget Sub Activities</v>
          </cell>
        </row>
        <row r="4588">
          <cell r="A4588" t="str">
            <v xml:space="preserve"> Sub total Year One</v>
          </cell>
        </row>
        <row r="4595">
          <cell r="A4595" t="str">
            <v>Enter activity Code first</v>
          </cell>
        </row>
        <row r="4597">
          <cell r="A4597" t="str">
            <v>Multi-Year Budget Sub Activities</v>
          </cell>
        </row>
        <row r="4606">
          <cell r="A4606" t="str">
            <v xml:space="preserve"> Sub total Year One</v>
          </cell>
        </row>
        <row r="4613">
          <cell r="A4613" t="str">
            <v>Not Specified</v>
          </cell>
        </row>
        <row r="4615">
          <cell r="A4615" t="str">
            <v>Multi-Year Budget Sub Activities</v>
          </cell>
        </row>
        <row r="4624">
          <cell r="A4624" t="str">
            <v xml:space="preserve"> Sub total Year One</v>
          </cell>
        </row>
        <row r="4631">
          <cell r="A4631" t="str">
            <v>Not Specified</v>
          </cell>
        </row>
        <row r="4633">
          <cell r="A4633" t="str">
            <v>Multi-Year Budget Sub Activities</v>
          </cell>
        </row>
        <row r="4642">
          <cell r="A4642" t="str">
            <v xml:space="preserve"> Sub total Year One</v>
          </cell>
        </row>
        <row r="4650">
          <cell r="A4650" t="str">
            <v>Not Specified</v>
          </cell>
        </row>
        <row r="4652">
          <cell r="A4652" t="str">
            <v>Multi-Year Budget Sub Activities</v>
          </cell>
        </row>
        <row r="4661">
          <cell r="A4661" t="str">
            <v xml:space="preserve"> Sub total Year One</v>
          </cell>
        </row>
        <row r="4668">
          <cell r="A4668" t="str">
            <v>Not Specified</v>
          </cell>
        </row>
        <row r="4670">
          <cell r="A4670" t="str">
            <v>Multi-Year Budget Sub Activities</v>
          </cell>
        </row>
        <row r="4679">
          <cell r="A4679" t="str">
            <v xml:space="preserve"> Sub total Year One</v>
          </cell>
        </row>
        <row r="4686">
          <cell r="A4686" t="str">
            <v>Not Specified</v>
          </cell>
        </row>
        <row r="4688">
          <cell r="A4688" t="str">
            <v>Multi-Year Budget Sub Activities</v>
          </cell>
        </row>
        <row r="4697">
          <cell r="A4697" t="str">
            <v xml:space="preserve"> Sub total Year One</v>
          </cell>
        </row>
        <row r="4704">
          <cell r="A4704" t="str">
            <v>Not Specified</v>
          </cell>
        </row>
        <row r="4706">
          <cell r="A4706" t="str">
            <v>Multi-Year Budget Sub Activities</v>
          </cell>
        </row>
        <row r="4715">
          <cell r="A4715" t="str">
            <v xml:space="preserve"> Sub total Year One</v>
          </cell>
        </row>
        <row r="4722">
          <cell r="A4722" t="str">
            <v>Not Specified</v>
          </cell>
        </row>
        <row r="4724">
          <cell r="A4724" t="str">
            <v>Multi-Year Budget Sub Activities</v>
          </cell>
        </row>
        <row r="4733">
          <cell r="A4733" t="str">
            <v xml:space="preserve"> Sub total Year One</v>
          </cell>
        </row>
        <row r="4741">
          <cell r="A4741" t="str">
            <v>Not Specified</v>
          </cell>
        </row>
        <row r="4743">
          <cell r="A4743" t="str">
            <v>Multi-Year Budget Sub Activities</v>
          </cell>
        </row>
        <row r="4752">
          <cell r="A4752" t="str">
            <v xml:space="preserve"> Sub total Year One</v>
          </cell>
        </row>
        <row r="4759">
          <cell r="A4759" t="str">
            <v>Not Specified</v>
          </cell>
        </row>
        <row r="4761">
          <cell r="A4761" t="str">
            <v>Multi-Year Budget Sub Activities</v>
          </cell>
        </row>
        <row r="4770">
          <cell r="A4770" t="str">
            <v xml:space="preserve"> Sub total Year One</v>
          </cell>
        </row>
        <row r="4777">
          <cell r="A4777" t="str">
            <v>Not Specified</v>
          </cell>
        </row>
        <row r="4779">
          <cell r="A4779" t="str">
            <v>Multi-Year Budget Sub Activities</v>
          </cell>
        </row>
        <row r="4788">
          <cell r="A4788" t="str">
            <v xml:space="preserve"> Sub total Year One</v>
          </cell>
        </row>
        <row r="4795">
          <cell r="A4795" t="str">
            <v>Enter activity Code first</v>
          </cell>
        </row>
        <row r="4797">
          <cell r="A4797" t="str">
            <v>Multi-Year Budget Sub Activities</v>
          </cell>
        </row>
        <row r="4806">
          <cell r="A4806" t="str">
            <v xml:space="preserve"> Sub total Year One</v>
          </cell>
        </row>
        <row r="4813">
          <cell r="A4813" t="str">
            <v>Enter activity Code first</v>
          </cell>
        </row>
        <row r="4815">
          <cell r="A4815" t="str">
            <v>Multi-Year Budget Sub Activities</v>
          </cell>
        </row>
        <row r="4824">
          <cell r="A4824" t="str">
            <v xml:space="preserve"> Sub total Year One</v>
          </cell>
        </row>
        <row r="4832">
          <cell r="A4832" t="str">
            <v>Not Specified</v>
          </cell>
        </row>
        <row r="4834">
          <cell r="A4834" t="str">
            <v>Multi-Year Budget Sub Activities</v>
          </cell>
        </row>
        <row r="4843">
          <cell r="A4843" t="str">
            <v xml:space="preserve"> Sub total Year One</v>
          </cell>
        </row>
        <row r="4850">
          <cell r="A4850" t="str">
            <v>Enter activity Code first</v>
          </cell>
        </row>
        <row r="4852">
          <cell r="A4852" t="str">
            <v>Multi-Year Budget Sub Activities</v>
          </cell>
        </row>
        <row r="4861">
          <cell r="A4861" t="str">
            <v xml:space="preserve"> Sub total Year One</v>
          </cell>
        </row>
        <row r="4868">
          <cell r="A4868" t="str">
            <v>Enter activity Code first</v>
          </cell>
        </row>
        <row r="4870">
          <cell r="A4870" t="str">
            <v>Multi-Year Budget Sub Activities</v>
          </cell>
        </row>
        <row r="4879">
          <cell r="A4879" t="str">
            <v xml:space="preserve"> Sub total Year One</v>
          </cell>
        </row>
        <row r="4886">
          <cell r="A4886" t="str">
            <v>Enter activity Code first</v>
          </cell>
        </row>
        <row r="4888">
          <cell r="A4888" t="str">
            <v>Multi-Year Budget Sub Activities</v>
          </cell>
        </row>
        <row r="4897">
          <cell r="A4897" t="str">
            <v xml:space="preserve"> Sub total Year One</v>
          </cell>
        </row>
        <row r="4904">
          <cell r="A4904" t="str">
            <v>Enter activity Code first</v>
          </cell>
        </row>
        <row r="4906">
          <cell r="A4906" t="str">
            <v>Multi-Year Budget Sub Activities</v>
          </cell>
        </row>
        <row r="4915">
          <cell r="A4915" t="str">
            <v xml:space="preserve"> Sub total Year One</v>
          </cell>
        </row>
        <row r="4923">
          <cell r="A4923" t="str">
            <v>Enter activity Code first</v>
          </cell>
        </row>
        <row r="4925">
          <cell r="A4925" t="str">
            <v>Multi-Year Budget Sub Activities</v>
          </cell>
        </row>
        <row r="4934">
          <cell r="A4934" t="str">
            <v xml:space="preserve"> Sub total Year One</v>
          </cell>
        </row>
        <row r="4941">
          <cell r="A4941" t="str">
            <v>Enter activity Code first</v>
          </cell>
        </row>
        <row r="4943">
          <cell r="A4943" t="str">
            <v>Multi-Year Budget Sub Activities</v>
          </cell>
        </row>
        <row r="4952">
          <cell r="A4952" t="str">
            <v xml:space="preserve"> Sub total Year One</v>
          </cell>
        </row>
        <row r="4959">
          <cell r="A4959" t="str">
            <v>Enter activity Code first</v>
          </cell>
        </row>
        <row r="4961">
          <cell r="A4961" t="str">
            <v>Multi-Year Budget Sub Activities</v>
          </cell>
        </row>
        <row r="4970">
          <cell r="A4970" t="str">
            <v xml:space="preserve"> Sub total Year One</v>
          </cell>
        </row>
        <row r="4977">
          <cell r="A4977" t="str">
            <v>Enter activity Code first</v>
          </cell>
        </row>
        <row r="4979">
          <cell r="A4979" t="str">
            <v>Multi-Year Budget Sub Activities</v>
          </cell>
        </row>
        <row r="4988">
          <cell r="A4988" t="str">
            <v xml:space="preserve"> Sub total Year One</v>
          </cell>
        </row>
        <row r="4995">
          <cell r="A4995" t="str">
            <v>Enter activity Code first</v>
          </cell>
        </row>
        <row r="4997">
          <cell r="A4997" t="str">
            <v>Multi-Year Budget Sub Activities</v>
          </cell>
        </row>
        <row r="5006">
          <cell r="A5006" t="str">
            <v xml:space="preserve"> Sub total Year One</v>
          </cell>
        </row>
        <row r="5014">
          <cell r="A5014" t="str">
            <v>Enter activity Code first</v>
          </cell>
        </row>
        <row r="5016">
          <cell r="A5016" t="str">
            <v>Multi-Year Budget Sub Activities</v>
          </cell>
        </row>
        <row r="5025">
          <cell r="A5025" t="str">
            <v xml:space="preserve"> Sub total Year One</v>
          </cell>
        </row>
        <row r="5032">
          <cell r="A5032" t="str">
            <v>Enter activity Code first</v>
          </cell>
        </row>
        <row r="5034">
          <cell r="A5034" t="str">
            <v>Multi-Year Budget Sub Activities</v>
          </cell>
        </row>
        <row r="5043">
          <cell r="A5043" t="str">
            <v xml:space="preserve"> Sub total Year One</v>
          </cell>
        </row>
        <row r="5050">
          <cell r="A5050" t="str">
            <v>Enter activity Code first</v>
          </cell>
        </row>
        <row r="5052">
          <cell r="A5052" t="str">
            <v>Multi-Year Budget Sub Activities</v>
          </cell>
        </row>
        <row r="5061">
          <cell r="A5061" t="str">
            <v xml:space="preserve"> Sub total Year One</v>
          </cell>
        </row>
        <row r="5068">
          <cell r="A5068" t="str">
            <v>Enter activity Code first</v>
          </cell>
        </row>
        <row r="5070">
          <cell r="A5070" t="str">
            <v>Multi-Year Budget Sub Activities</v>
          </cell>
        </row>
        <row r="5079">
          <cell r="A5079" t="str">
            <v xml:space="preserve"> Sub total Year One</v>
          </cell>
        </row>
        <row r="5086">
          <cell r="A5086" t="str">
            <v>Enter activity Code first</v>
          </cell>
        </row>
        <row r="5088">
          <cell r="A5088" t="str">
            <v>Multi-Year Budget Sub Activities</v>
          </cell>
        </row>
        <row r="5097">
          <cell r="A5097" t="str">
            <v xml:space="preserve"> Sub total Year One</v>
          </cell>
        </row>
        <row r="5105">
          <cell r="A5105" t="str">
            <v>Not Specified</v>
          </cell>
        </row>
        <row r="5107">
          <cell r="A5107" t="str">
            <v>Multi-Year Budget Sub Activities</v>
          </cell>
        </row>
        <row r="5116">
          <cell r="A5116" t="str">
            <v xml:space="preserve"> Sub total Year One</v>
          </cell>
        </row>
        <row r="5123">
          <cell r="A5123" t="str">
            <v>Not Specified</v>
          </cell>
        </row>
        <row r="5125">
          <cell r="A5125" t="str">
            <v>Multi-Year Budget Sub Activities</v>
          </cell>
        </row>
        <row r="5134">
          <cell r="A5134" t="str">
            <v xml:space="preserve"> Sub total Year One</v>
          </cell>
        </row>
        <row r="5141">
          <cell r="A5141" t="str">
            <v>Not Specified</v>
          </cell>
        </row>
        <row r="5143">
          <cell r="A5143" t="str">
            <v>Multi-Year Budget Sub Activities</v>
          </cell>
        </row>
        <row r="5152">
          <cell r="A5152" t="str">
            <v xml:space="preserve"> Sub total Year One</v>
          </cell>
        </row>
        <row r="5159">
          <cell r="A5159" t="str">
            <v>Enter activity Code first</v>
          </cell>
        </row>
        <row r="5161">
          <cell r="A5161" t="str">
            <v>Multi-Year Budget Sub Activities</v>
          </cell>
        </row>
        <row r="5170">
          <cell r="A5170" t="str">
            <v xml:space="preserve"> Sub total Year One</v>
          </cell>
        </row>
        <row r="5177">
          <cell r="A5177" t="str">
            <v>Not Specified</v>
          </cell>
        </row>
        <row r="5179">
          <cell r="A5179" t="str">
            <v>Multi-Year Budget Sub Activities</v>
          </cell>
        </row>
        <row r="5188">
          <cell r="A5188" t="str">
            <v xml:space="preserve"> Sub total Year One</v>
          </cell>
        </row>
        <row r="5196">
          <cell r="A5196" t="str">
            <v>Enter activity Code first</v>
          </cell>
        </row>
        <row r="5198">
          <cell r="A5198" t="str">
            <v>Multi-Year Budget Sub Activities</v>
          </cell>
        </row>
        <row r="5207">
          <cell r="A5207" t="str">
            <v xml:space="preserve"> Sub total Year One</v>
          </cell>
        </row>
        <row r="5214">
          <cell r="A5214" t="str">
            <v>Enter activity Code first</v>
          </cell>
        </row>
        <row r="5216">
          <cell r="A5216" t="str">
            <v>Multi-Year Budget Sub Activities</v>
          </cell>
        </row>
        <row r="5225">
          <cell r="A5225" t="str">
            <v xml:space="preserve"> Sub total Year One</v>
          </cell>
        </row>
        <row r="5232">
          <cell r="A5232" t="str">
            <v>Not Specified</v>
          </cell>
        </row>
        <row r="5234">
          <cell r="A5234" t="str">
            <v>Multi-Year Budget Sub Activities</v>
          </cell>
        </row>
        <row r="5243">
          <cell r="A5243" t="str">
            <v xml:space="preserve"> Sub total Year One</v>
          </cell>
        </row>
        <row r="5250">
          <cell r="A5250" t="str">
            <v>Not Specified</v>
          </cell>
        </row>
        <row r="5252">
          <cell r="A5252" t="str">
            <v>Multi-Year Budget Sub Activities</v>
          </cell>
        </row>
        <row r="5261">
          <cell r="A5261" t="str">
            <v xml:space="preserve"> Sub total Year One</v>
          </cell>
        </row>
        <row r="5268">
          <cell r="A5268" t="str">
            <v>Enter activity Code first</v>
          </cell>
        </row>
        <row r="5270">
          <cell r="A5270" t="str">
            <v>Multi-Year Budget Sub Activities</v>
          </cell>
        </row>
        <row r="5279">
          <cell r="A5279" t="str">
            <v xml:space="preserve"> Sub total Year One</v>
          </cell>
        </row>
        <row r="5287">
          <cell r="A5287" t="str">
            <v>Not Specified</v>
          </cell>
        </row>
        <row r="5289">
          <cell r="A5289" t="str">
            <v>Multi-Year Budget Sub Activities</v>
          </cell>
        </row>
        <row r="5298">
          <cell r="A5298" t="str">
            <v xml:space="preserve"> Sub total Year One</v>
          </cell>
        </row>
        <row r="5305">
          <cell r="A5305" t="str">
            <v>Not Specified</v>
          </cell>
        </row>
        <row r="5307">
          <cell r="A5307" t="str">
            <v>Multi-Year Budget Sub Activities</v>
          </cell>
        </row>
        <row r="5316">
          <cell r="A5316" t="str">
            <v xml:space="preserve"> Sub total Year One</v>
          </cell>
        </row>
        <row r="5323">
          <cell r="A5323" t="str">
            <v>Enter activity Code first</v>
          </cell>
        </row>
        <row r="5325">
          <cell r="A5325" t="str">
            <v>Multi-Year Budget Sub Activities</v>
          </cell>
        </row>
        <row r="5334">
          <cell r="A5334" t="str">
            <v xml:space="preserve"> Sub total Year One</v>
          </cell>
        </row>
        <row r="5341">
          <cell r="A5341" t="str">
            <v>Enter activity Code first</v>
          </cell>
        </row>
        <row r="5343">
          <cell r="A5343" t="str">
            <v>Multi-Year Budget Sub Activities</v>
          </cell>
        </row>
        <row r="5352">
          <cell r="A5352" t="str">
            <v xml:space="preserve"> Sub total Year One</v>
          </cell>
        </row>
        <row r="5359">
          <cell r="A5359" t="str">
            <v>Not Specified</v>
          </cell>
        </row>
        <row r="5361">
          <cell r="A5361" t="str">
            <v>Multi-Year Budget Sub Activities</v>
          </cell>
        </row>
        <row r="5370">
          <cell r="A5370" t="str">
            <v xml:space="preserve"> Sub total Year One</v>
          </cell>
        </row>
        <row r="5378">
          <cell r="A5378" t="str">
            <v>Enter activity Code first</v>
          </cell>
        </row>
        <row r="5380">
          <cell r="A5380" t="str">
            <v>Multi-Year Budget Sub Activities</v>
          </cell>
        </row>
        <row r="5389">
          <cell r="A5389" t="str">
            <v xml:space="preserve"> Sub total Year One</v>
          </cell>
        </row>
        <row r="5396">
          <cell r="A5396" t="str">
            <v>Enter activity Code first</v>
          </cell>
        </row>
        <row r="5398">
          <cell r="A5398" t="str">
            <v>Multi-Year Budget Sub Activities</v>
          </cell>
        </row>
        <row r="5407">
          <cell r="A5407" t="str">
            <v xml:space="preserve"> Sub total Year One</v>
          </cell>
        </row>
        <row r="5414">
          <cell r="A5414" t="str">
            <v>Not Specified</v>
          </cell>
        </row>
        <row r="5416">
          <cell r="A5416" t="str">
            <v>Multi-Year Budget Sub Activities</v>
          </cell>
        </row>
        <row r="5425">
          <cell r="A5425" t="str">
            <v xml:space="preserve"> Sub total Year One</v>
          </cell>
        </row>
        <row r="5432">
          <cell r="A5432" t="str">
            <v>Enter activity Code first</v>
          </cell>
        </row>
        <row r="5434">
          <cell r="A5434" t="str">
            <v>Multi-Year Budget Sub Activities</v>
          </cell>
        </row>
        <row r="5443">
          <cell r="A5443" t="str">
            <v xml:space="preserve"> Sub total Year One</v>
          </cell>
        </row>
        <row r="5450">
          <cell r="A5450" t="str">
            <v>Enter activity Code first</v>
          </cell>
        </row>
        <row r="5452">
          <cell r="A5452" t="str">
            <v>Multi-Year Budget Sub Activities</v>
          </cell>
        </row>
        <row r="5461">
          <cell r="A5461" t="str">
            <v xml:space="preserve"> Sub total Year One</v>
          </cell>
        </row>
        <row r="5469">
          <cell r="A5469" t="str">
            <v>Not Specified</v>
          </cell>
        </row>
        <row r="5471">
          <cell r="A5471" t="str">
            <v>Multi-Year Budget Sub Activities</v>
          </cell>
        </row>
        <row r="5480">
          <cell r="A5480" t="str">
            <v xml:space="preserve"> Sub total Year One</v>
          </cell>
        </row>
        <row r="5487">
          <cell r="A5487" t="str">
            <v>Enter activity Code first</v>
          </cell>
        </row>
        <row r="5489">
          <cell r="A5489" t="str">
            <v>Multi-Year Budget Sub Activities</v>
          </cell>
        </row>
        <row r="5498">
          <cell r="A5498" t="str">
            <v xml:space="preserve"> Sub total Year One</v>
          </cell>
        </row>
        <row r="5505">
          <cell r="A5505" t="str">
            <v>Enter activity Code first</v>
          </cell>
        </row>
        <row r="5507">
          <cell r="A5507" t="str">
            <v>Multi-Year Budget Sub Activities</v>
          </cell>
        </row>
        <row r="5516">
          <cell r="A5516" t="str">
            <v xml:space="preserve"> Sub total Year One</v>
          </cell>
        </row>
        <row r="5523">
          <cell r="A5523" t="str">
            <v>Not Specified</v>
          </cell>
        </row>
        <row r="5525">
          <cell r="A5525" t="str">
            <v>Multi-Year Budget Sub Activities</v>
          </cell>
        </row>
        <row r="5534">
          <cell r="A5534" t="str">
            <v xml:space="preserve"> Sub total Year One</v>
          </cell>
        </row>
        <row r="5541">
          <cell r="A5541" t="str">
            <v>Enter activity Code first</v>
          </cell>
        </row>
        <row r="5543">
          <cell r="A5543" t="str">
            <v>Multi-Year Budget Sub Activities</v>
          </cell>
        </row>
        <row r="5552">
          <cell r="A5552" t="str">
            <v xml:space="preserve"> Sub total Year One</v>
          </cell>
        </row>
        <row r="5560">
          <cell r="A5560" t="str">
            <v>Enter activity Code first</v>
          </cell>
        </row>
        <row r="5562">
          <cell r="A5562" t="str">
            <v>Multi-Year Budget Sub Activities</v>
          </cell>
        </row>
        <row r="5571">
          <cell r="A5571" t="str">
            <v xml:space="preserve"> Sub total Year One</v>
          </cell>
        </row>
        <row r="5578">
          <cell r="A5578" t="str">
            <v>Not Specified</v>
          </cell>
        </row>
        <row r="5580">
          <cell r="A5580" t="str">
            <v>Multi-Year Budget Sub Activities</v>
          </cell>
        </row>
        <row r="5589">
          <cell r="A5589" t="str">
            <v xml:space="preserve"> Sub total Year One</v>
          </cell>
        </row>
        <row r="5596">
          <cell r="A5596" t="str">
            <v>Enter activity Code first</v>
          </cell>
        </row>
        <row r="5598">
          <cell r="A5598" t="str">
            <v>Multi-Year Budget Sub Activities</v>
          </cell>
        </row>
        <row r="5607">
          <cell r="A5607" t="str">
            <v xml:space="preserve"> Sub total Year One</v>
          </cell>
        </row>
        <row r="5614">
          <cell r="A5614" t="str">
            <v>Enter activity Code first</v>
          </cell>
        </row>
        <row r="5616">
          <cell r="A5616" t="str">
            <v>Multi-Year Budget Sub Activities</v>
          </cell>
        </row>
        <row r="5625">
          <cell r="A5625" t="str">
            <v xml:space="preserve"> Sub total Year One</v>
          </cell>
        </row>
        <row r="5632">
          <cell r="A5632" t="str">
            <v>Enter activity Code first</v>
          </cell>
        </row>
        <row r="5634">
          <cell r="A5634" t="str">
            <v>Multi-Year Budget Sub Activities</v>
          </cell>
        </row>
        <row r="5643">
          <cell r="A5643" t="str">
            <v xml:space="preserve"> Sub total Year One</v>
          </cell>
        </row>
        <row r="5651">
          <cell r="A5651" t="str">
            <v>Not Specified</v>
          </cell>
        </row>
        <row r="5653">
          <cell r="A5653" t="str">
            <v>Multi-Year Budget Sub Activities</v>
          </cell>
        </row>
        <row r="5662">
          <cell r="A5662" t="str">
            <v xml:space="preserve"> Sub total Year One</v>
          </cell>
        </row>
        <row r="5669">
          <cell r="A5669" t="str">
            <v>Not Specified</v>
          </cell>
        </row>
        <row r="5671">
          <cell r="A5671" t="str">
            <v>Multi-Year Budget Sub Activities</v>
          </cell>
        </row>
        <row r="5680">
          <cell r="A5680" t="str">
            <v xml:space="preserve"> Sub total Year One</v>
          </cell>
        </row>
        <row r="5687">
          <cell r="A5687" t="str">
            <v>Enter activity Code first</v>
          </cell>
        </row>
        <row r="5689">
          <cell r="A5689" t="str">
            <v>Multi-Year Budget Sub Activities</v>
          </cell>
        </row>
        <row r="5698">
          <cell r="A5698" t="str">
            <v xml:space="preserve"> Sub total Year One</v>
          </cell>
        </row>
        <row r="5705">
          <cell r="A5705" t="str">
            <v>Enter activity Code first</v>
          </cell>
        </row>
        <row r="5707">
          <cell r="A5707" t="str">
            <v>Multi-Year Budget Sub Activities</v>
          </cell>
        </row>
        <row r="5716">
          <cell r="A5716" t="str">
            <v xml:space="preserve"> Sub total Year One</v>
          </cell>
        </row>
        <row r="5723">
          <cell r="A5723" t="str">
            <v>Enter activity Code first</v>
          </cell>
        </row>
        <row r="5725">
          <cell r="A5725" t="str">
            <v>Multi-Year Budget Sub Activities</v>
          </cell>
        </row>
        <row r="5734">
          <cell r="A5734" t="str">
            <v xml:space="preserve"> Sub total Year One</v>
          </cell>
        </row>
        <row r="5742">
          <cell r="A5742" t="str">
            <v>Enter activity Code first</v>
          </cell>
        </row>
        <row r="5744">
          <cell r="A5744" t="str">
            <v>Multi-Year Budget Sub Activities</v>
          </cell>
        </row>
        <row r="5753">
          <cell r="A5753" t="str">
            <v xml:space="preserve"> Sub total Year One</v>
          </cell>
        </row>
        <row r="5760">
          <cell r="A5760" t="str">
            <v>Enter activity Code first</v>
          </cell>
        </row>
        <row r="5762">
          <cell r="A5762" t="str">
            <v>Multi-Year Budget Sub Activities</v>
          </cell>
        </row>
        <row r="5771">
          <cell r="A5771" t="str">
            <v xml:space="preserve"> Sub total Year One</v>
          </cell>
        </row>
        <row r="5778">
          <cell r="A5778" t="str">
            <v>Enter activity Code first</v>
          </cell>
        </row>
        <row r="5780">
          <cell r="A5780" t="str">
            <v>Multi-Year Budget Sub Activities</v>
          </cell>
        </row>
        <row r="5789">
          <cell r="A5789" t="str">
            <v xml:space="preserve"> Sub total Year One</v>
          </cell>
        </row>
        <row r="5796">
          <cell r="A5796" t="str">
            <v>Not Specified</v>
          </cell>
        </row>
        <row r="5798">
          <cell r="A5798" t="str">
            <v>Multi-Year Budget Sub Activities</v>
          </cell>
        </row>
        <row r="5807">
          <cell r="A5807" t="str">
            <v xml:space="preserve"> Sub total Year One</v>
          </cell>
        </row>
        <row r="5814">
          <cell r="A5814" t="str">
            <v>Enter activity Code first</v>
          </cell>
        </row>
        <row r="5816">
          <cell r="A5816" t="str">
            <v>Multi-Year Budget Sub Activities</v>
          </cell>
        </row>
        <row r="5825">
          <cell r="A5825" t="str">
            <v xml:space="preserve"> Sub total Year One</v>
          </cell>
        </row>
        <row r="5833">
          <cell r="A5833" t="str">
            <v>Enter activity Code first</v>
          </cell>
        </row>
        <row r="5835">
          <cell r="A5835" t="str">
            <v>Multi-Year Budget Sub Activities</v>
          </cell>
        </row>
        <row r="5844">
          <cell r="A5844" t="str">
            <v xml:space="preserve"> Sub total Year One</v>
          </cell>
        </row>
        <row r="5851">
          <cell r="A5851" t="str">
            <v>Not Specified</v>
          </cell>
        </row>
        <row r="5853">
          <cell r="A5853" t="str">
            <v>Multi-Year Budget Sub Activities</v>
          </cell>
        </row>
        <row r="5862">
          <cell r="A5862" t="str">
            <v xml:space="preserve"> Sub total Year One</v>
          </cell>
        </row>
        <row r="5869">
          <cell r="A5869" t="str">
            <v>Enter activity Code first</v>
          </cell>
        </row>
        <row r="5871">
          <cell r="A5871" t="str">
            <v>Multi-Year Budget Sub Activities</v>
          </cell>
        </row>
        <row r="5880">
          <cell r="A5880" t="str">
            <v xml:space="preserve"> Sub total Year One</v>
          </cell>
        </row>
        <row r="5887">
          <cell r="A5887" t="str">
            <v>Enter activity Code first</v>
          </cell>
        </row>
        <row r="5889">
          <cell r="A5889" t="str">
            <v>Multi-Year Budget Sub Activities</v>
          </cell>
        </row>
        <row r="5898">
          <cell r="A5898" t="str">
            <v xml:space="preserve"> Sub total Year One</v>
          </cell>
        </row>
        <row r="5905">
          <cell r="A5905" t="str">
            <v>Enter activity Code first</v>
          </cell>
        </row>
        <row r="5907">
          <cell r="A5907" t="str">
            <v>Multi-Year Budget Sub Activities</v>
          </cell>
        </row>
        <row r="5916">
          <cell r="A5916" t="str">
            <v xml:space="preserve"> Sub total Year One</v>
          </cell>
        </row>
        <row r="5924">
          <cell r="A5924" t="str">
            <v>Enter activity Code first</v>
          </cell>
        </row>
        <row r="5926">
          <cell r="A5926" t="str">
            <v>Multi-Year Budget Sub Activities</v>
          </cell>
        </row>
        <row r="5935">
          <cell r="A5935" t="str">
            <v xml:space="preserve"> Sub total Year One</v>
          </cell>
        </row>
        <row r="5942">
          <cell r="A5942" t="str">
            <v>Enter activity Code first</v>
          </cell>
        </row>
        <row r="5944">
          <cell r="A5944" t="str">
            <v>Multi-Year Budget Sub Activities</v>
          </cell>
        </row>
        <row r="5953">
          <cell r="A5953" t="str">
            <v xml:space="preserve"> Sub total Year One</v>
          </cell>
        </row>
        <row r="5960">
          <cell r="A5960" t="str">
            <v>Enter activity Code first</v>
          </cell>
        </row>
        <row r="5962">
          <cell r="A5962" t="str">
            <v>Multi-Year Budget Sub Activities</v>
          </cell>
        </row>
        <row r="5971">
          <cell r="A5971" t="str">
            <v xml:space="preserve"> Sub total Year One</v>
          </cell>
        </row>
        <row r="5978">
          <cell r="A5978" t="str">
            <v>Enter activity Code first</v>
          </cell>
        </row>
        <row r="5980">
          <cell r="A5980" t="str">
            <v>Multi-Year Budget Sub Activities</v>
          </cell>
        </row>
        <row r="5989">
          <cell r="A5989" t="str">
            <v xml:space="preserve"> Sub total Year One</v>
          </cell>
        </row>
        <row r="5996">
          <cell r="A5996" t="str">
            <v>Enter activity Code first</v>
          </cell>
        </row>
        <row r="5998">
          <cell r="A5998" t="str">
            <v>Multi-Year Budget Sub Activities</v>
          </cell>
        </row>
        <row r="6007">
          <cell r="A6007" t="str">
            <v xml:space="preserve"> Sub total Year One</v>
          </cell>
        </row>
        <row r="6015">
          <cell r="A6015" t="str">
            <v>Enter activity Code first</v>
          </cell>
        </row>
        <row r="6017">
          <cell r="A6017" t="str">
            <v>Multi-Year Budget Sub Activities</v>
          </cell>
        </row>
        <row r="6026">
          <cell r="A6026" t="str">
            <v xml:space="preserve"> Sub total Year One</v>
          </cell>
        </row>
        <row r="6033">
          <cell r="A6033" t="str">
            <v>Enter activity Code first</v>
          </cell>
        </row>
        <row r="6035">
          <cell r="A6035" t="str">
            <v>Multi-Year Budget Sub Activities</v>
          </cell>
        </row>
        <row r="6044">
          <cell r="A6044" t="str">
            <v xml:space="preserve"> Sub total Year One</v>
          </cell>
        </row>
        <row r="6051">
          <cell r="A6051" t="str">
            <v>Enter activity Code first</v>
          </cell>
        </row>
        <row r="6053">
          <cell r="A6053" t="str">
            <v>Multi-Year Budget Sub Activities</v>
          </cell>
        </row>
        <row r="6062">
          <cell r="A6062" t="str">
            <v xml:space="preserve"> Sub total Year One</v>
          </cell>
        </row>
        <row r="6069">
          <cell r="A6069" t="str">
            <v>Enter activity Code first</v>
          </cell>
        </row>
        <row r="6071">
          <cell r="A6071" t="str">
            <v>Multi-Year Budget Sub Activities</v>
          </cell>
        </row>
        <row r="6080">
          <cell r="A6080" t="str">
            <v xml:space="preserve"> Sub total Year One</v>
          </cell>
        </row>
        <row r="6087">
          <cell r="A6087" t="str">
            <v>Enter activity Code first</v>
          </cell>
        </row>
        <row r="6089">
          <cell r="A6089" t="str">
            <v>Multi-Year Budget Sub Activities</v>
          </cell>
        </row>
        <row r="6098">
          <cell r="A6098" t="str">
            <v xml:space="preserve"> Sub total Year One</v>
          </cell>
        </row>
        <row r="6106">
          <cell r="A6106" t="str">
            <v>Enter activity Code first</v>
          </cell>
        </row>
        <row r="6108">
          <cell r="A6108" t="str">
            <v>Multi-Year Budget Sub Activities</v>
          </cell>
        </row>
        <row r="6117">
          <cell r="A6117" t="str">
            <v xml:space="preserve"> Sub total Year One</v>
          </cell>
        </row>
        <row r="6124">
          <cell r="A6124" t="str">
            <v>Enter activity Code first</v>
          </cell>
        </row>
        <row r="6126">
          <cell r="A6126" t="str">
            <v>Multi-Year Budget Sub Activities</v>
          </cell>
        </row>
        <row r="6135">
          <cell r="A6135" t="str">
            <v xml:space="preserve"> Sub total Year One</v>
          </cell>
        </row>
        <row r="6142">
          <cell r="A6142" t="str">
            <v>Enter activity Code first</v>
          </cell>
        </row>
        <row r="6144">
          <cell r="A6144" t="str">
            <v>Multi-Year Budget Sub Activities</v>
          </cell>
        </row>
        <row r="6153">
          <cell r="A6153" t="str">
            <v xml:space="preserve"> Sub total Year One</v>
          </cell>
        </row>
        <row r="6160">
          <cell r="A6160" t="str">
            <v>Enter activity Code first</v>
          </cell>
        </row>
        <row r="6162">
          <cell r="A6162" t="str">
            <v>Multi-Year Budget Sub Activities</v>
          </cell>
        </row>
        <row r="6171">
          <cell r="A6171" t="str">
            <v xml:space="preserve"> Sub total Year One</v>
          </cell>
        </row>
        <row r="6178">
          <cell r="A6178" t="str">
            <v>Enter activity Code first</v>
          </cell>
        </row>
        <row r="6180">
          <cell r="A6180" t="str">
            <v>Multi-Year Budget Sub Activities</v>
          </cell>
        </row>
        <row r="6189">
          <cell r="A6189" t="str">
            <v xml:space="preserve"> Sub total Year One</v>
          </cell>
        </row>
        <row r="6197">
          <cell r="A6197" t="str">
            <v>Enter activity Code first</v>
          </cell>
        </row>
        <row r="6199">
          <cell r="A6199" t="str">
            <v>Multi-Year Budget Sub Activities</v>
          </cell>
        </row>
        <row r="6208">
          <cell r="A6208" t="str">
            <v xml:space="preserve"> Sub total Year One</v>
          </cell>
        </row>
        <row r="6215">
          <cell r="A6215" t="str">
            <v>Enter activity Code first</v>
          </cell>
        </row>
        <row r="6217">
          <cell r="A6217" t="str">
            <v>Multi-Year Budget Sub Activities</v>
          </cell>
        </row>
        <row r="6226">
          <cell r="A6226" t="str">
            <v xml:space="preserve"> Sub total Year One</v>
          </cell>
        </row>
        <row r="6233">
          <cell r="A6233" t="str">
            <v>Enter activity Code first</v>
          </cell>
        </row>
        <row r="6235">
          <cell r="A6235" t="str">
            <v>Multi-Year Budget Sub Activities</v>
          </cell>
        </row>
        <row r="6244">
          <cell r="A6244" t="str">
            <v xml:space="preserve"> Sub total Year One</v>
          </cell>
        </row>
        <row r="6251">
          <cell r="A6251" t="str">
            <v>Enter activity Code first</v>
          </cell>
        </row>
        <row r="6253">
          <cell r="A6253" t="str">
            <v>Multi-Year Budget Sub Activities</v>
          </cell>
        </row>
        <row r="6262">
          <cell r="A6262" t="str">
            <v xml:space="preserve"> Sub total Year One</v>
          </cell>
        </row>
        <row r="6269">
          <cell r="A6269" t="str">
            <v>Enter activity Code first</v>
          </cell>
        </row>
        <row r="6271">
          <cell r="A6271" t="str">
            <v>Multi-Year Budget Sub Activities</v>
          </cell>
        </row>
        <row r="6280">
          <cell r="A6280" t="str">
            <v xml:space="preserve"> Sub total Year One</v>
          </cell>
        </row>
        <row r="6289">
          <cell r="A6289" t="str">
            <v>Enter activity Code first</v>
          </cell>
        </row>
        <row r="6291">
          <cell r="A6291" t="str">
            <v>Multi-Year Budget Sub Activities</v>
          </cell>
        </row>
        <row r="6300">
          <cell r="A6300" t="str">
            <v xml:space="preserve"> Sub total Year One</v>
          </cell>
        </row>
        <row r="6307">
          <cell r="A6307" t="str">
            <v>Enter activity Code first</v>
          </cell>
        </row>
        <row r="6309">
          <cell r="A6309" t="str">
            <v>Multi-Year Budget Sub Activities</v>
          </cell>
        </row>
        <row r="6318">
          <cell r="A6318" t="str">
            <v xml:space="preserve"> Sub total Year One</v>
          </cell>
        </row>
        <row r="6325">
          <cell r="A6325" t="str">
            <v>Enter activity Code first</v>
          </cell>
        </row>
        <row r="6327">
          <cell r="A6327" t="str">
            <v>Multi-Year Budget Sub Activities</v>
          </cell>
        </row>
        <row r="6336">
          <cell r="A6336" t="str">
            <v xml:space="preserve"> Sub total Year One</v>
          </cell>
        </row>
        <row r="6343">
          <cell r="A6343" t="str">
            <v>Enter activity Code first</v>
          </cell>
        </row>
        <row r="6345">
          <cell r="A6345" t="str">
            <v>Multi-Year Budget Sub Activities</v>
          </cell>
        </row>
        <row r="6354">
          <cell r="A6354" t="str">
            <v xml:space="preserve"> Sub total Year One</v>
          </cell>
        </row>
        <row r="6361">
          <cell r="A6361" t="str">
            <v>Enter activity Code first</v>
          </cell>
        </row>
        <row r="6363">
          <cell r="A6363" t="str">
            <v>Multi-Year Budget Sub Activities</v>
          </cell>
        </row>
        <row r="6372">
          <cell r="A6372" t="str">
            <v xml:space="preserve"> Sub total Year One</v>
          </cell>
        </row>
        <row r="6380">
          <cell r="A6380" t="str">
            <v>Enter activity Code first</v>
          </cell>
        </row>
        <row r="6382">
          <cell r="A6382" t="str">
            <v>Multi-Year Budget Sub Activities</v>
          </cell>
        </row>
        <row r="6391">
          <cell r="A6391" t="str">
            <v xml:space="preserve"> Sub total Year One</v>
          </cell>
        </row>
        <row r="6398">
          <cell r="A6398" t="str">
            <v>Enter activity Code first</v>
          </cell>
        </row>
        <row r="6400">
          <cell r="A6400" t="str">
            <v>Multi-Year Budget Sub Activities</v>
          </cell>
        </row>
        <row r="6409">
          <cell r="A6409" t="str">
            <v xml:space="preserve"> Sub total Year One</v>
          </cell>
        </row>
        <row r="6416">
          <cell r="A6416" t="str">
            <v>Enter activity Code first</v>
          </cell>
        </row>
        <row r="6418">
          <cell r="A6418" t="str">
            <v>Multi-Year Budget Sub Activities</v>
          </cell>
        </row>
        <row r="6427">
          <cell r="A6427" t="str">
            <v xml:space="preserve"> Sub total Year One</v>
          </cell>
        </row>
        <row r="6434">
          <cell r="A6434" t="str">
            <v>Enter activity Code first</v>
          </cell>
        </row>
        <row r="6436">
          <cell r="A6436" t="str">
            <v>Multi-Year Budget Sub Activities</v>
          </cell>
        </row>
        <row r="6445">
          <cell r="A6445" t="str">
            <v xml:space="preserve"> Sub total Year One</v>
          </cell>
        </row>
        <row r="6452">
          <cell r="A6452" t="str">
            <v>Enter activity Code first</v>
          </cell>
        </row>
        <row r="6454">
          <cell r="A6454" t="str">
            <v>Multi-Year Budget Sub Activities</v>
          </cell>
        </row>
        <row r="6463">
          <cell r="A6463" t="str">
            <v xml:space="preserve"> Sub total Year One</v>
          </cell>
        </row>
        <row r="6471">
          <cell r="A6471" t="str">
            <v>Enter activity Code first</v>
          </cell>
        </row>
        <row r="6473">
          <cell r="A6473" t="str">
            <v>Multi-Year Budget Sub Activities</v>
          </cell>
        </row>
        <row r="6482">
          <cell r="A6482" t="str">
            <v xml:space="preserve"> Sub total Year One</v>
          </cell>
        </row>
        <row r="6489">
          <cell r="A6489" t="str">
            <v>Enter activity Code first</v>
          </cell>
        </row>
        <row r="6491">
          <cell r="A6491" t="str">
            <v>Multi-Year Budget Sub Activities</v>
          </cell>
        </row>
        <row r="6500">
          <cell r="A6500" t="str">
            <v xml:space="preserve"> Sub total Year One</v>
          </cell>
        </row>
        <row r="6507">
          <cell r="A6507" t="str">
            <v>Enter activity Code first</v>
          </cell>
        </row>
        <row r="6509">
          <cell r="A6509" t="str">
            <v>Multi-Year Budget Sub Activities</v>
          </cell>
        </row>
        <row r="6518">
          <cell r="A6518" t="str">
            <v xml:space="preserve"> Sub total Year One</v>
          </cell>
        </row>
        <row r="6525">
          <cell r="A6525" t="str">
            <v>Enter activity Code first</v>
          </cell>
        </row>
        <row r="6527">
          <cell r="A6527" t="str">
            <v>Multi-Year Budget Sub Activities</v>
          </cell>
        </row>
        <row r="6536">
          <cell r="A6536" t="str">
            <v xml:space="preserve"> Sub total Year One</v>
          </cell>
        </row>
        <row r="6543">
          <cell r="A6543" t="str">
            <v>Enter activity Code first</v>
          </cell>
        </row>
        <row r="6545">
          <cell r="A6545" t="str">
            <v>Multi-Year Budget Sub Activities</v>
          </cell>
        </row>
        <row r="6554">
          <cell r="A6554" t="str">
            <v xml:space="preserve"> Sub total Year One</v>
          </cell>
        </row>
        <row r="6562">
          <cell r="A6562" t="str">
            <v>Enter activity Code first</v>
          </cell>
        </row>
        <row r="6564">
          <cell r="A6564" t="str">
            <v>Multi-Year Budget Sub Activities</v>
          </cell>
        </row>
        <row r="6573">
          <cell r="A6573" t="str">
            <v xml:space="preserve"> Sub total Year One</v>
          </cell>
        </row>
        <row r="6580">
          <cell r="A6580" t="str">
            <v>Enter activity Code first</v>
          </cell>
        </row>
        <row r="6582">
          <cell r="A6582" t="str">
            <v>Multi-Year Budget Sub Activities</v>
          </cell>
        </row>
        <row r="6591">
          <cell r="A6591" t="str">
            <v xml:space="preserve"> Sub total Year One</v>
          </cell>
        </row>
        <row r="6598">
          <cell r="A6598" t="str">
            <v>Enter activity Code first</v>
          </cell>
        </row>
        <row r="6600">
          <cell r="A6600" t="str">
            <v>Multi-Year Budget Sub Activities</v>
          </cell>
        </row>
        <row r="6609">
          <cell r="A6609" t="str">
            <v xml:space="preserve"> Sub total Year One</v>
          </cell>
        </row>
        <row r="6616">
          <cell r="A6616" t="str">
            <v>Enter activity Code first</v>
          </cell>
        </row>
        <row r="6618">
          <cell r="A6618" t="str">
            <v>Multi-Year Budget Sub Activities</v>
          </cell>
        </row>
        <row r="6627">
          <cell r="A6627" t="str">
            <v xml:space="preserve"> Sub total Year One</v>
          </cell>
        </row>
        <row r="6634">
          <cell r="A6634" t="str">
            <v>Enter activity Code first</v>
          </cell>
        </row>
        <row r="6636">
          <cell r="A6636" t="str">
            <v>Multi-Year Budget Sub Activities</v>
          </cell>
        </row>
        <row r="6645">
          <cell r="A6645" t="str">
            <v xml:space="preserve"> Sub total Year One</v>
          </cell>
        </row>
        <row r="6653">
          <cell r="A6653" t="str">
            <v>Enter activity Code first</v>
          </cell>
        </row>
        <row r="6655">
          <cell r="A6655" t="str">
            <v>Multi-Year Budget Sub Activities</v>
          </cell>
        </row>
        <row r="6664">
          <cell r="A6664" t="str">
            <v xml:space="preserve"> Sub total Year One</v>
          </cell>
        </row>
        <row r="6671">
          <cell r="A6671" t="str">
            <v>Enter activity Code first</v>
          </cell>
        </row>
        <row r="6673">
          <cell r="A6673" t="str">
            <v>Multi-Year Budget Sub Activities</v>
          </cell>
        </row>
        <row r="6682">
          <cell r="A6682" t="str">
            <v xml:space="preserve"> Sub total Year One</v>
          </cell>
        </row>
        <row r="6689">
          <cell r="A6689" t="str">
            <v>Enter activity Code first</v>
          </cell>
        </row>
        <row r="6691">
          <cell r="A6691" t="str">
            <v>Multi-Year Budget Sub Activities</v>
          </cell>
        </row>
        <row r="6700">
          <cell r="A6700" t="str">
            <v xml:space="preserve"> Sub total Year One</v>
          </cell>
        </row>
        <row r="6707">
          <cell r="A6707" t="str">
            <v>Enter activity Code first</v>
          </cell>
        </row>
        <row r="6709">
          <cell r="A6709" t="str">
            <v>Multi-Year Budget Sub Activities</v>
          </cell>
        </row>
        <row r="6718">
          <cell r="A6718" t="str">
            <v xml:space="preserve"> Sub total Year One</v>
          </cell>
        </row>
        <row r="6725">
          <cell r="A6725" t="str">
            <v>Enter activity Code first</v>
          </cell>
        </row>
        <row r="6727">
          <cell r="A6727" t="str">
            <v>Multi-Year Budget Sub Activities</v>
          </cell>
        </row>
        <row r="6736">
          <cell r="A6736" t="str">
            <v xml:space="preserve"> Sub total Year One</v>
          </cell>
        </row>
        <row r="6744">
          <cell r="A6744" t="str">
            <v>Enter activity Code first</v>
          </cell>
        </row>
        <row r="6746">
          <cell r="A6746" t="str">
            <v>Multi-Year Budget Sub Activities</v>
          </cell>
        </row>
        <row r="6755">
          <cell r="A6755" t="str">
            <v xml:space="preserve"> Sub total Year One</v>
          </cell>
        </row>
        <row r="6762">
          <cell r="A6762" t="str">
            <v>Enter activity Code first</v>
          </cell>
        </row>
        <row r="6764">
          <cell r="A6764" t="str">
            <v>Multi-Year Budget Sub Activities</v>
          </cell>
        </row>
        <row r="6773">
          <cell r="A6773" t="str">
            <v xml:space="preserve"> Sub total Year One</v>
          </cell>
        </row>
        <row r="6780">
          <cell r="A6780" t="str">
            <v>Enter activity Code first</v>
          </cell>
        </row>
        <row r="6782">
          <cell r="A6782" t="str">
            <v>Multi-Year Budget Sub Activities</v>
          </cell>
        </row>
        <row r="6791">
          <cell r="A6791" t="str">
            <v xml:space="preserve"> Sub total Year One</v>
          </cell>
        </row>
        <row r="6798">
          <cell r="A6798" t="str">
            <v>Enter activity Code first</v>
          </cell>
        </row>
        <row r="6800">
          <cell r="A6800" t="str">
            <v>Multi-Year Budget Sub Activities</v>
          </cell>
        </row>
        <row r="6809">
          <cell r="A6809" t="str">
            <v xml:space="preserve"> Sub total Year One</v>
          </cell>
        </row>
        <row r="6816">
          <cell r="A6816" t="str">
            <v>Enter activity Code first</v>
          </cell>
        </row>
        <row r="6818">
          <cell r="A6818" t="str">
            <v>Multi-Year Budget Sub Activities</v>
          </cell>
        </row>
        <row r="6827">
          <cell r="A6827" t="str">
            <v xml:space="preserve"> Sub total Year One</v>
          </cell>
        </row>
        <row r="6835">
          <cell r="A6835" t="str">
            <v>Enter activity Code first</v>
          </cell>
        </row>
        <row r="6837">
          <cell r="A6837" t="str">
            <v>Multi-Year Budget Sub Activities</v>
          </cell>
        </row>
        <row r="6846">
          <cell r="A6846" t="str">
            <v xml:space="preserve"> Sub total Year One</v>
          </cell>
        </row>
        <row r="6853">
          <cell r="A6853" t="str">
            <v>Enter activity Code first</v>
          </cell>
        </row>
        <row r="6855">
          <cell r="A6855" t="str">
            <v>Multi-Year Budget Sub Activities</v>
          </cell>
        </row>
        <row r="6864">
          <cell r="A6864" t="str">
            <v xml:space="preserve"> Sub total Year One</v>
          </cell>
        </row>
        <row r="6871">
          <cell r="A6871" t="str">
            <v>Enter activity Code first</v>
          </cell>
        </row>
        <row r="6873">
          <cell r="A6873" t="str">
            <v>Multi-Year Budget Sub Activities</v>
          </cell>
        </row>
        <row r="6882">
          <cell r="A6882" t="str">
            <v xml:space="preserve"> Sub total Year One</v>
          </cell>
        </row>
        <row r="6889">
          <cell r="A6889" t="str">
            <v>Enter activity Code first</v>
          </cell>
        </row>
        <row r="6891">
          <cell r="A6891" t="str">
            <v>Multi-Year Budget Sub Activities</v>
          </cell>
        </row>
        <row r="6900">
          <cell r="A6900" t="str">
            <v xml:space="preserve"> Sub total Year One</v>
          </cell>
        </row>
        <row r="6907">
          <cell r="A6907" t="str">
            <v>Enter activity Code first</v>
          </cell>
        </row>
        <row r="6909">
          <cell r="A6909" t="str">
            <v>Multi-Year Budget Sub Activities</v>
          </cell>
        </row>
        <row r="6918">
          <cell r="A6918" t="str">
            <v xml:space="preserve"> Sub total Year One</v>
          </cell>
        </row>
        <row r="6926">
          <cell r="A6926" t="str">
            <v>Enter activity Code first</v>
          </cell>
        </row>
        <row r="6928">
          <cell r="A6928" t="str">
            <v>Multi-Year Budget Sub Activities</v>
          </cell>
        </row>
        <row r="6937">
          <cell r="A6937" t="str">
            <v xml:space="preserve"> Sub total Year One</v>
          </cell>
        </row>
        <row r="6944">
          <cell r="A6944" t="str">
            <v>Enter activity Code first</v>
          </cell>
        </row>
        <row r="6946">
          <cell r="A6946" t="str">
            <v>Multi-Year Budget Sub Activities</v>
          </cell>
        </row>
        <row r="6955">
          <cell r="A6955" t="str">
            <v xml:space="preserve"> Sub total Year One</v>
          </cell>
        </row>
        <row r="6962">
          <cell r="A6962" t="str">
            <v>Enter activity Code first</v>
          </cell>
        </row>
        <row r="6964">
          <cell r="A6964" t="str">
            <v>Multi-Year Budget Sub Activities</v>
          </cell>
        </row>
        <row r="6973">
          <cell r="A6973" t="str">
            <v xml:space="preserve"> Sub total Year One</v>
          </cell>
        </row>
        <row r="6980">
          <cell r="A6980" t="str">
            <v>Enter activity Code first</v>
          </cell>
        </row>
        <row r="6982">
          <cell r="A6982" t="str">
            <v>Multi-Year Budget Sub Activities</v>
          </cell>
        </row>
        <row r="6991">
          <cell r="A6991" t="str">
            <v xml:space="preserve"> Sub total Year One</v>
          </cell>
        </row>
        <row r="6998">
          <cell r="A6998" t="str">
            <v>Enter activity Code first</v>
          </cell>
        </row>
        <row r="7000">
          <cell r="A7000" t="str">
            <v>Multi-Year Budget Sub Activities</v>
          </cell>
        </row>
        <row r="7009">
          <cell r="A7009" t="str">
            <v xml:space="preserve"> Sub total Year One</v>
          </cell>
        </row>
        <row r="7017">
          <cell r="A7017" t="str">
            <v>Enter activity Code first</v>
          </cell>
        </row>
        <row r="7019">
          <cell r="A7019" t="str">
            <v>Multi-Year Budget Sub Activities</v>
          </cell>
        </row>
        <row r="7028">
          <cell r="A7028" t="str">
            <v xml:space="preserve"> Sub total Year One</v>
          </cell>
        </row>
        <row r="7035">
          <cell r="A7035" t="str">
            <v>Enter activity Code first</v>
          </cell>
        </row>
        <row r="7037">
          <cell r="A7037" t="str">
            <v>Multi-Year Budget Sub Activities</v>
          </cell>
        </row>
        <row r="7046">
          <cell r="A7046" t="str">
            <v xml:space="preserve"> Sub total Year One</v>
          </cell>
        </row>
        <row r="7053">
          <cell r="A7053" t="str">
            <v>Enter activity Code first</v>
          </cell>
        </row>
        <row r="7055">
          <cell r="A7055" t="str">
            <v>Multi-Year Budget Sub Activities</v>
          </cell>
        </row>
        <row r="7064">
          <cell r="A7064" t="str">
            <v xml:space="preserve"> Sub total Year One</v>
          </cell>
        </row>
        <row r="7071">
          <cell r="A7071" t="str">
            <v>Enter activity Code first</v>
          </cell>
        </row>
        <row r="7073">
          <cell r="A7073" t="str">
            <v>Multi-Year Budget Sub Activities</v>
          </cell>
        </row>
        <row r="7082">
          <cell r="A7082" t="str">
            <v xml:space="preserve"> Sub total Year One</v>
          </cell>
        </row>
        <row r="7089">
          <cell r="A7089" t="str">
            <v>Enter activity Code first</v>
          </cell>
        </row>
        <row r="7091">
          <cell r="A7091" t="str">
            <v>Multi-Year Budget Sub Activities</v>
          </cell>
        </row>
        <row r="7100">
          <cell r="A7100" t="str">
            <v xml:space="preserve"> Sub total Year One</v>
          </cell>
        </row>
        <row r="7108">
          <cell r="A7108" t="str">
            <v>Enter activity Code first</v>
          </cell>
        </row>
        <row r="7110">
          <cell r="A7110" t="str">
            <v>Multi-Year Budget Sub Activities</v>
          </cell>
        </row>
        <row r="7119">
          <cell r="A7119" t="str">
            <v xml:space="preserve"> Sub total Year One</v>
          </cell>
        </row>
        <row r="7126">
          <cell r="A7126" t="str">
            <v>Enter activity Code first</v>
          </cell>
        </row>
        <row r="7128">
          <cell r="A7128" t="str">
            <v>Multi-Year Budget Sub Activities</v>
          </cell>
        </row>
        <row r="7137">
          <cell r="A7137" t="str">
            <v xml:space="preserve"> Sub total Year One</v>
          </cell>
        </row>
        <row r="7144">
          <cell r="A7144" t="str">
            <v>Enter activity Code first</v>
          </cell>
        </row>
        <row r="7146">
          <cell r="A7146" t="str">
            <v>Multi-Year Budget Sub Activities</v>
          </cell>
        </row>
        <row r="7155">
          <cell r="A7155" t="str">
            <v xml:space="preserve"> Sub total Year One</v>
          </cell>
        </row>
        <row r="7162">
          <cell r="A7162" t="str">
            <v>Enter activity Code first</v>
          </cell>
        </row>
        <row r="7164">
          <cell r="A7164" t="str">
            <v>Multi-Year Budget Sub Activities</v>
          </cell>
        </row>
        <row r="7173">
          <cell r="A7173" t="str">
            <v xml:space="preserve"> Sub total Year One</v>
          </cell>
        </row>
        <row r="7180">
          <cell r="A7180" t="str">
            <v>Enter activity Code first</v>
          </cell>
        </row>
        <row r="7182">
          <cell r="A7182" t="str">
            <v>Multi-Year Budget Sub Activities</v>
          </cell>
        </row>
        <row r="7191">
          <cell r="A7191" t="str">
            <v xml:space="preserve"> Sub total Year One</v>
          </cell>
        </row>
        <row r="7199">
          <cell r="A7199" t="str">
            <v>Enter activity Code first</v>
          </cell>
        </row>
        <row r="7201">
          <cell r="A7201" t="str">
            <v>Multi-Year Budget Sub Activities</v>
          </cell>
        </row>
        <row r="7210">
          <cell r="A7210" t="str">
            <v xml:space="preserve"> Sub total Year One</v>
          </cell>
        </row>
        <row r="7217">
          <cell r="A7217" t="str">
            <v>Enter activity Code first</v>
          </cell>
        </row>
        <row r="7219">
          <cell r="A7219" t="str">
            <v>Multi-Year Budget Sub Activities</v>
          </cell>
        </row>
        <row r="7228">
          <cell r="A7228" t="str">
            <v xml:space="preserve"> Sub total Year One</v>
          </cell>
        </row>
        <row r="7235">
          <cell r="A7235" t="str">
            <v>Enter activity Code first</v>
          </cell>
        </row>
        <row r="7237">
          <cell r="A7237" t="str">
            <v>Multi-Year Budget Sub Activities</v>
          </cell>
        </row>
        <row r="7246">
          <cell r="A7246" t="str">
            <v xml:space="preserve"> Sub total Year One</v>
          </cell>
        </row>
        <row r="7253">
          <cell r="A7253" t="str">
            <v>Enter activity Code first</v>
          </cell>
        </row>
        <row r="7255">
          <cell r="A7255" t="str">
            <v>Multi-Year Budget Sub Activities</v>
          </cell>
        </row>
        <row r="7264">
          <cell r="A7264" t="str">
            <v xml:space="preserve"> Sub total Year One</v>
          </cell>
        </row>
        <row r="7271">
          <cell r="A7271" t="str">
            <v>Enter activity Code first</v>
          </cell>
        </row>
        <row r="7273">
          <cell r="A7273" t="str">
            <v>Multi-Year Budget Sub Activities</v>
          </cell>
        </row>
        <row r="7282">
          <cell r="A7282" t="str">
            <v xml:space="preserve"> Sub total Year One</v>
          </cell>
        </row>
        <row r="7290">
          <cell r="A7290" t="str">
            <v>Enter activity Code first</v>
          </cell>
        </row>
        <row r="7292">
          <cell r="A7292" t="str">
            <v>Multi-Year Budget Sub Activities</v>
          </cell>
        </row>
        <row r="7301">
          <cell r="A7301" t="str">
            <v xml:space="preserve"> Sub total Year One</v>
          </cell>
        </row>
        <row r="7308">
          <cell r="A7308" t="str">
            <v>Enter activity Code first</v>
          </cell>
        </row>
        <row r="7310">
          <cell r="A7310" t="str">
            <v>Multi-Year Budget Sub Activities</v>
          </cell>
        </row>
      </sheetData>
      <sheetData sheetId="4"/>
      <sheetData sheetId="5"/>
      <sheetData sheetId="6"/>
      <sheetData sheetId="7">
        <row r="3">
          <cell r="N3" t="str">
            <v>KADUNA STATE</v>
          </cell>
          <cell r="O3">
            <v>18</v>
          </cell>
          <cell r="R3" t="str">
            <v>01101 - FAAC DIRECT ALLOCATION</v>
          </cell>
          <cell r="S3" t="str">
            <v>01101</v>
          </cell>
          <cell r="W3" t="str">
            <v>AGRICULTURE</v>
          </cell>
          <cell r="X3">
            <v>70421</v>
          </cell>
        </row>
        <row r="4">
          <cell r="N4" t="str">
            <v>ACROSS THE STATE</v>
          </cell>
          <cell r="O4">
            <v>31830000</v>
          </cell>
          <cell r="R4" t="str">
            <v>02101 - MAIN ENVELOP - BUDGETARY ALLOCATION</v>
          </cell>
          <cell r="S4" t="str">
            <v>02101</v>
          </cell>
          <cell r="W4" t="str">
            <v>BASIC RESEARCH</v>
          </cell>
          <cell r="X4">
            <v>70140</v>
          </cell>
        </row>
        <row r="5">
          <cell r="N5" t="str">
            <v>BIRNIN GWARI</v>
          </cell>
          <cell r="O5">
            <v>31830100</v>
          </cell>
          <cell r="R5" t="str">
            <v>02201 - PENSION AND GRATUITIES</v>
          </cell>
          <cell r="S5" t="str">
            <v>02201</v>
          </cell>
          <cell r="W5" t="str">
            <v>BROADCASTING AND PUBLISHING SERVICES</v>
          </cell>
          <cell r="X5">
            <v>70830</v>
          </cell>
        </row>
        <row r="6">
          <cell r="N6" t="str">
            <v>CHIKUN</v>
          </cell>
          <cell r="O6">
            <v>31830101</v>
          </cell>
          <cell r="R6" t="str">
            <v>02202 - SERVICE WIDE VOTE</v>
          </cell>
          <cell r="S6" t="str">
            <v>02202</v>
          </cell>
          <cell r="W6" t="str">
            <v>COAL AND OTHER SOLID MINERAL FUEL</v>
          </cell>
          <cell r="X6">
            <v>70431</v>
          </cell>
        </row>
        <row r="7">
          <cell r="N7" t="str">
            <v>GIWA</v>
          </cell>
          <cell r="O7">
            <v>31830102</v>
          </cell>
          <cell r="R7" t="str">
            <v>02203 - CAPITAL SUPPLEMENTATION</v>
          </cell>
          <cell r="S7" t="str">
            <v>02203</v>
          </cell>
          <cell r="W7" t="str">
            <v>COMMUNICATION</v>
          </cell>
          <cell r="X7">
            <v>70460</v>
          </cell>
        </row>
        <row r="8">
          <cell r="N8" t="str">
            <v>IGABI</v>
          </cell>
          <cell r="O8">
            <v>31830103</v>
          </cell>
          <cell r="R8" t="str">
            <v>02204 - OTHER CRF CHARGES</v>
          </cell>
          <cell r="S8" t="str">
            <v>02204</v>
          </cell>
          <cell r="W8" t="str">
            <v>COMMUNITY DEVELOPMENT</v>
          </cell>
          <cell r="X8">
            <v>70620</v>
          </cell>
        </row>
        <row r="9">
          <cell r="N9" t="str">
            <v>IKARA</v>
          </cell>
          <cell r="O9">
            <v>31830104</v>
          </cell>
          <cell r="R9" t="str">
            <v>03101 - CAPITAL DEVELOPMENT FUND</v>
          </cell>
          <cell r="S9" t="str">
            <v>03101</v>
          </cell>
          <cell r="W9" t="str">
            <v>CONSTRUCTION</v>
          </cell>
          <cell r="X9">
            <v>70443</v>
          </cell>
        </row>
        <row r="10">
          <cell r="N10" t="str">
            <v>JABA</v>
          </cell>
          <cell r="O10">
            <v>31830105</v>
          </cell>
          <cell r="R10" t="str">
            <v>04101 - CONTINGENCY FUND</v>
          </cell>
          <cell r="S10" t="str">
            <v>04101</v>
          </cell>
          <cell r="W10" t="str">
            <v>CULTURAL SERVICES</v>
          </cell>
          <cell r="X10">
            <v>70820</v>
          </cell>
        </row>
        <row r="11">
          <cell r="N11" t="str">
            <v>JEMA'A</v>
          </cell>
          <cell r="O11">
            <v>31830106</v>
          </cell>
          <cell r="R11" t="str">
            <v>05101 - DEBT RELIEF GAINS</v>
          </cell>
          <cell r="S11" t="str">
            <v>05101</v>
          </cell>
          <cell r="W11" t="str">
            <v>DENTAL SERVICES</v>
          </cell>
          <cell r="X11">
            <v>70723</v>
          </cell>
        </row>
        <row r="12">
          <cell r="N12" t="str">
            <v>KACHIA</v>
          </cell>
          <cell r="O12">
            <v>31830107</v>
          </cell>
          <cell r="R12" t="str">
            <v>06103 - PETROLEUM EQUALISATION FUND</v>
          </cell>
          <cell r="S12" t="str">
            <v>06103</v>
          </cell>
          <cell r="W12" t="str">
            <v>DISABILITY</v>
          </cell>
          <cell r="X12">
            <v>71012</v>
          </cell>
        </row>
        <row r="13">
          <cell r="N13" t="str">
            <v>KADUNA NORTH</v>
          </cell>
          <cell r="O13">
            <v>31830108</v>
          </cell>
          <cell r="R13" t="str">
            <v>07102 - FERTILIZER REVOLVING FUND</v>
          </cell>
          <cell r="S13" t="str">
            <v>07102</v>
          </cell>
          <cell r="W13" t="str">
            <v>DISTRIBUTIVE TRADE, STORAGE AND WAREHOUSING</v>
          </cell>
          <cell r="X13">
            <v>70471</v>
          </cell>
        </row>
        <row r="14">
          <cell r="N14" t="str">
            <v>KADUNA SOUTH</v>
          </cell>
          <cell r="O14">
            <v>31830109</v>
          </cell>
          <cell r="R14" t="str">
            <v>07106 - NIGERIAN EX-SERVICEMEN REWARD FUND</v>
          </cell>
          <cell r="S14" t="str">
            <v>07106</v>
          </cell>
          <cell r="W14" t="str">
            <v>ECONOMIC AFFAIRS N.E.C.</v>
          </cell>
          <cell r="X14">
            <v>70490</v>
          </cell>
        </row>
        <row r="15">
          <cell r="N15" t="str">
            <v>KAGARKO</v>
          </cell>
          <cell r="O15">
            <v>31830110</v>
          </cell>
          <cell r="R15" t="str">
            <v>07107 - COCOA RESEARCH INSTITUTE OF NIGERIA FUND</v>
          </cell>
          <cell r="S15" t="str">
            <v>07107</v>
          </cell>
          <cell r="W15" t="str">
            <v>ECONOMIC AID ROUTED THROUGH INTERNATIONAL ORGANIZATIONS</v>
          </cell>
          <cell r="X15">
            <v>70122</v>
          </cell>
        </row>
        <row r="16">
          <cell r="N16" t="str">
            <v>KAJURU</v>
          </cell>
          <cell r="O16">
            <v>31830111</v>
          </cell>
          <cell r="R16" t="str">
            <v>07108 - FERTILIZER REVOLVING FUND</v>
          </cell>
          <cell r="S16" t="str">
            <v>07108</v>
          </cell>
          <cell r="W16" t="str">
            <v>ECONOMIC AID TO DEVELOPING COUNTRIES AND COUNTRIES IN TRANSITION</v>
          </cell>
          <cell r="X16">
            <v>70121</v>
          </cell>
        </row>
        <row r="17">
          <cell r="N17" t="str">
            <v>KAURA</v>
          </cell>
          <cell r="O17">
            <v>31830112</v>
          </cell>
          <cell r="R17" t="str">
            <v>07109 - SINKING FUND FOR JUDGEMENT DEBT FUND</v>
          </cell>
          <cell r="S17" t="str">
            <v>07109</v>
          </cell>
          <cell r="W17" t="str">
            <v>EDUCATION N.E.C</v>
          </cell>
          <cell r="X17">
            <v>70980</v>
          </cell>
        </row>
        <row r="18">
          <cell r="N18" t="str">
            <v>KAURU</v>
          </cell>
          <cell r="O18">
            <v>31830113</v>
          </cell>
          <cell r="R18" t="str">
            <v>08101 - AFRICAN DEVELOPMENT BANK</v>
          </cell>
          <cell r="S18" t="str">
            <v>08101</v>
          </cell>
          <cell r="W18" t="str">
            <v>EDUCATION NOT DEFINABLE BY LEVEL</v>
          </cell>
          <cell r="X18">
            <v>70950</v>
          </cell>
        </row>
        <row r="19">
          <cell r="N19" t="str">
            <v>KUBAU</v>
          </cell>
          <cell r="O19">
            <v>31830114</v>
          </cell>
          <cell r="R19" t="str">
            <v>08102 - AFRICAN DEVELOPMENT FUND</v>
          </cell>
          <cell r="S19" t="str">
            <v>08102</v>
          </cell>
          <cell r="W19" t="str">
            <v>ELECTRICITY</v>
          </cell>
          <cell r="X19">
            <v>70435</v>
          </cell>
        </row>
        <row r="20">
          <cell r="N20" t="str">
            <v>KUDAN</v>
          </cell>
          <cell r="O20">
            <v>31830115</v>
          </cell>
          <cell r="R20" t="str">
            <v>08103 - ARAB BANK FOR ECONOMIC DEVELOPMENT(BADEA)</v>
          </cell>
          <cell r="S20" t="str">
            <v>08103</v>
          </cell>
          <cell r="W20" t="str">
            <v>ENVIRONMENTAL PROTECTION N.E.C.</v>
          </cell>
          <cell r="X20">
            <v>70560</v>
          </cell>
        </row>
        <row r="21">
          <cell r="N21" t="str">
            <v>LERE</v>
          </cell>
          <cell r="O21">
            <v>31830116</v>
          </cell>
          <cell r="R21" t="str">
            <v>08104 - ARAB LOAN FUND FOR AFRICAN ARAB LEAGUE</v>
          </cell>
          <cell r="S21" t="str">
            <v>08104</v>
          </cell>
          <cell r="W21" t="str">
            <v>EXECUTIVE AND LEGISLATIVE ORGANS</v>
          </cell>
          <cell r="X21">
            <v>70111</v>
          </cell>
        </row>
        <row r="22">
          <cell r="N22" t="str">
            <v>MAKARFI</v>
          </cell>
          <cell r="O22">
            <v>31830117</v>
          </cell>
          <cell r="R22" t="str">
            <v>08105 - ECOWAS FUND</v>
          </cell>
          <cell r="S22" t="str">
            <v>08105</v>
          </cell>
          <cell r="W22" t="str">
            <v>FAMILY AND CHILDREN</v>
          </cell>
          <cell r="X22">
            <v>71040</v>
          </cell>
        </row>
        <row r="23">
          <cell r="N23" t="str">
            <v>SABON GARI</v>
          </cell>
          <cell r="O23">
            <v>31830118</v>
          </cell>
          <cell r="R23" t="str">
            <v>08106 - EUROPEAN DEVELOPMENT FUND</v>
          </cell>
          <cell r="S23" t="str">
            <v>08106</v>
          </cell>
          <cell r="W23" t="str">
            <v>FINANCIAL AND FISCAL AFFAIRS</v>
          </cell>
          <cell r="X23">
            <v>70112</v>
          </cell>
        </row>
        <row r="24">
          <cell r="N24" t="str">
            <v>SANGA</v>
          </cell>
          <cell r="O24">
            <v>31830119</v>
          </cell>
          <cell r="R24" t="str">
            <v>08107 - EUROPEAN UNION</v>
          </cell>
          <cell r="S24" t="str">
            <v>08107</v>
          </cell>
          <cell r="W24" t="str">
            <v>FIRE PROTECTION SERVICES</v>
          </cell>
          <cell r="X24">
            <v>70320</v>
          </cell>
        </row>
        <row r="25">
          <cell r="N25" t="str">
            <v>SOBA</v>
          </cell>
          <cell r="O25">
            <v>31830120</v>
          </cell>
          <cell r="R25" t="str">
            <v>08108 - EUROPEAN INVESTMENT BANK</v>
          </cell>
          <cell r="S25" t="str">
            <v>08108</v>
          </cell>
          <cell r="W25" t="str">
            <v>FIRST STAGE OF TERTIARY EDUCATION</v>
          </cell>
          <cell r="X25">
            <v>70941</v>
          </cell>
        </row>
        <row r="26">
          <cell r="N26" t="str">
            <v>ZANGON KATAF</v>
          </cell>
          <cell r="O26">
            <v>31830121</v>
          </cell>
          <cell r="R26" t="str">
            <v>08109 - IDA - AFRICAN FACILITY</v>
          </cell>
          <cell r="S26" t="str">
            <v>08109</v>
          </cell>
          <cell r="W26" t="str">
            <v>FISHING AND HUNTING</v>
          </cell>
          <cell r="X26">
            <v>70423</v>
          </cell>
        </row>
        <row r="27">
          <cell r="N27" t="str">
            <v>ZARIA</v>
          </cell>
          <cell r="O27">
            <v>31830122</v>
          </cell>
          <cell r="R27" t="str">
            <v>08110 - INT. BANK FOR RECONSTRUCTION &amp; DEVELOPMENT (IBRD)</v>
          </cell>
          <cell r="S27" t="str">
            <v>08110</v>
          </cell>
          <cell r="W27" t="str">
            <v>FORESTRY</v>
          </cell>
          <cell r="X27">
            <v>70422</v>
          </cell>
        </row>
        <row r="28">
          <cell r="R28" t="str">
            <v>08111 - INTERNATIONAL DEVELOPMENT ASSOCIATION (IDA)</v>
          </cell>
          <cell r="S28" t="str">
            <v>08111</v>
          </cell>
          <cell r="W28" t="str">
            <v>FUEL AND ENERGY</v>
          </cell>
          <cell r="X28">
            <v>70483</v>
          </cell>
        </row>
        <row r="29">
          <cell r="R29" t="str">
            <v>08112 - INTERNATIONAL FINANCE CORPORATION</v>
          </cell>
          <cell r="S29" t="str">
            <v>08112</v>
          </cell>
          <cell r="W29" t="str">
            <v xml:space="preserve">GENERAL ECONOMIC AND COMMERCIALAFFAIRS </v>
          </cell>
          <cell r="X29">
            <v>70411</v>
          </cell>
        </row>
        <row r="30">
          <cell r="R30" t="str">
            <v>08113 - INTERNATIONAL FUND FOR AGRICULTURAL DEVELOPMENT</v>
          </cell>
          <cell r="S30" t="str">
            <v>08113</v>
          </cell>
          <cell r="W30" t="str">
            <v>GENERAL HOSPITAL SERVICES</v>
          </cell>
          <cell r="X30">
            <v>70731</v>
          </cell>
        </row>
        <row r="31">
          <cell r="R31" t="str">
            <v>08114 - INTERNATIONAL MONETARY FUND</v>
          </cell>
          <cell r="S31" t="str">
            <v>08114</v>
          </cell>
          <cell r="W31" t="str">
            <v>GENERAL LABOUR AFFAIRS</v>
          </cell>
          <cell r="X31">
            <v>70412</v>
          </cell>
        </row>
        <row r="32">
          <cell r="R32" t="str">
            <v>08115 - NIGERIA TRUST FUND</v>
          </cell>
          <cell r="S32" t="str">
            <v>08115</v>
          </cell>
          <cell r="W32" t="str">
            <v>GENERAL MEDICAL SERVICES</v>
          </cell>
          <cell r="X32">
            <v>70721</v>
          </cell>
        </row>
        <row r="33">
          <cell r="R33" t="str">
            <v>08116 - NORDIC DEVELOPMENT FUND</v>
          </cell>
          <cell r="S33" t="str">
            <v>08116</v>
          </cell>
          <cell r="W33" t="str">
            <v>GENERAL PERSONNEL SERVICES</v>
          </cell>
          <cell r="X33">
            <v>70131</v>
          </cell>
        </row>
        <row r="34">
          <cell r="R34" t="str">
            <v>08117 - ORGANISATION OF PETROLEUM EXPORTING COUNTRIES</v>
          </cell>
          <cell r="S34" t="str">
            <v>08117</v>
          </cell>
          <cell r="W34" t="str">
            <v>GENERAL PUBLIC SERVICES N.E.C.</v>
          </cell>
          <cell r="X34">
            <v>70160</v>
          </cell>
        </row>
        <row r="35">
          <cell r="R35" t="str">
            <v>08118 - UNITED NATIONS DEVELOPMENT PROGRAMME (UNDP)</v>
          </cell>
          <cell r="S35" t="str">
            <v>08118</v>
          </cell>
          <cell r="W35" t="str">
            <v>HEALTH N.E.C.</v>
          </cell>
          <cell r="X35">
            <v>70760</v>
          </cell>
        </row>
        <row r="36">
          <cell r="R36" t="str">
            <v>08119 - UNITED NATIONS CHILDREN'S FUND (UNICEF)</v>
          </cell>
          <cell r="S36" t="str">
            <v>08119</v>
          </cell>
          <cell r="W36" t="str">
            <v>HOTELS AND RESTUARANTS</v>
          </cell>
          <cell r="X36">
            <v>70472</v>
          </cell>
        </row>
        <row r="37">
          <cell r="R37" t="str">
            <v>08120 - UNITED NATIONS FUND  FOR POPUPLATION ACTIVITIES</v>
          </cell>
          <cell r="S37" t="str">
            <v>08120</v>
          </cell>
          <cell r="W37" t="str">
            <v>HOUSING</v>
          </cell>
          <cell r="X37">
            <v>71060</v>
          </cell>
        </row>
        <row r="38">
          <cell r="R38" t="str">
            <v>08121 - WORLD BANK TRUST FUND</v>
          </cell>
          <cell r="S38" t="str">
            <v>08121</v>
          </cell>
          <cell r="W38" t="str">
            <v>HOUSING AND COMMUNITY AMENITIES N.E.C.</v>
          </cell>
          <cell r="X38">
            <v>70660</v>
          </cell>
        </row>
        <row r="39">
          <cell r="R39" t="str">
            <v>08122 - WORLD FOOD PROGRAMME</v>
          </cell>
          <cell r="S39" t="str">
            <v>08122</v>
          </cell>
          <cell r="W39" t="str">
            <v>HOUSING DEVELOPMENT</v>
          </cell>
          <cell r="X39">
            <v>70610</v>
          </cell>
        </row>
        <row r="40">
          <cell r="R40" t="str">
            <v>08123 - UNITED NATIONS CAPITAL DEVELOPMENT FUND (UNCDF)</v>
          </cell>
          <cell r="S40" t="str">
            <v>08123</v>
          </cell>
          <cell r="W40" t="str">
            <v>LOWER SECONDARY EDUCATION</v>
          </cell>
          <cell r="X40">
            <v>70921</v>
          </cell>
        </row>
        <row r="41">
          <cell r="R41" t="str">
            <v>08124 - GLOBAL 2000</v>
          </cell>
          <cell r="S41" t="str">
            <v>08124</v>
          </cell>
          <cell r="W41" t="str">
            <v>MANUFACTURING</v>
          </cell>
          <cell r="X41">
            <v>70442</v>
          </cell>
        </row>
        <row r="42">
          <cell r="R42" t="str">
            <v>08125 - UNITED NATIONS INDUSTRIAL DEVELOPMENT ORGANISATION (UNIDO)</v>
          </cell>
          <cell r="S42" t="str">
            <v>08125</v>
          </cell>
          <cell r="W42" t="str">
            <v>MEDICAL AND MATERNITY CENTRE SERVICES</v>
          </cell>
          <cell r="X42">
            <v>70733</v>
          </cell>
        </row>
        <row r="43">
          <cell r="R43" t="str">
            <v>08126 - MULTI-DONOR BUDGET SUPPORT</v>
          </cell>
          <cell r="S43" t="str">
            <v>08126</v>
          </cell>
          <cell r="W43" t="str">
            <v>MULTIPURPOSE DEVELOPMENT PROJECTS</v>
          </cell>
          <cell r="X43">
            <v>70474</v>
          </cell>
        </row>
        <row r="44">
          <cell r="R44" t="str">
            <v>08201 - SWEDISH INTERNATIONAL DEVELOPMENT AUTHORITY (SIDA)</v>
          </cell>
          <cell r="S44" t="str">
            <v>08201</v>
          </cell>
          <cell r="W44" t="str">
            <v>NON ELECTRIC ENERGY</v>
          </cell>
          <cell r="X44">
            <v>70436</v>
          </cell>
        </row>
        <row r="45">
          <cell r="R45" t="str">
            <v>08202 - UNITED STATES AGENCY FOR INTERNATIONAL DEVELOPMENT (USAID)</v>
          </cell>
          <cell r="S45" t="str">
            <v>08202</v>
          </cell>
          <cell r="W45" t="str">
            <v>NURSING AND CONVALESCENT HOME SERVICES</v>
          </cell>
          <cell r="X45">
            <v>70734</v>
          </cell>
        </row>
        <row r="46">
          <cell r="R46" t="str">
            <v>08203 - DEPARTMENT FOR INTERNATIONAL DEVELOPMENT (DfID)</v>
          </cell>
          <cell r="S46" t="str">
            <v>08203</v>
          </cell>
          <cell r="W46" t="str">
            <v>OLD AGE</v>
          </cell>
          <cell r="X46">
            <v>71020</v>
          </cell>
        </row>
        <row r="47">
          <cell r="R47" t="str">
            <v>08204 - CANADIAN INTERNATIONAL DEVELOPMENT AGENCY (CIDA)</v>
          </cell>
          <cell r="S47" t="str">
            <v>08204</v>
          </cell>
          <cell r="W47" t="str">
            <v>OTHER GENERAL SERVICES</v>
          </cell>
          <cell r="X47">
            <v>70133</v>
          </cell>
        </row>
        <row r="48">
          <cell r="R48" t="str">
            <v>08205 - SAUDI FUND FOR DEVELOPMENT</v>
          </cell>
          <cell r="S48" t="str">
            <v>08205</v>
          </cell>
          <cell r="W48" t="str">
            <v>OTHER MEDICAL PRODUCTS</v>
          </cell>
          <cell r="X48">
            <v>70712</v>
          </cell>
        </row>
        <row r="49">
          <cell r="R49" t="str">
            <v>08301 - DONATION BY LOCAL NGOs</v>
          </cell>
          <cell r="S49" t="str">
            <v>08301</v>
          </cell>
          <cell r="W49" t="str">
            <v>OVERALL PLANNING AND STATISTICAL SERVICES</v>
          </cell>
          <cell r="X49">
            <v>70132</v>
          </cell>
        </row>
        <row r="50">
          <cell r="R50" t="str">
            <v>08302 - DONATION BY STATE GOVERNMENTS</v>
          </cell>
          <cell r="S50" t="str">
            <v>08302</v>
          </cell>
          <cell r="W50" t="str">
            <v>PARAMEDICAL SERVICES</v>
          </cell>
          <cell r="X50">
            <v>70724</v>
          </cell>
        </row>
        <row r="51">
          <cell r="R51" t="str">
            <v>08303 - DONATION BY LOCAL GOVERNMENTS</v>
          </cell>
          <cell r="S51" t="str">
            <v>08303</v>
          </cell>
          <cell r="W51" t="str">
            <v>PHARMACEUTICAL PRODUCTS</v>
          </cell>
          <cell r="X51">
            <v>70711</v>
          </cell>
        </row>
        <row r="52">
          <cell r="R52" t="str">
            <v xml:space="preserve">08304 - DONATIONS BY FED. GOVERNMENT OWNED COMPANIES </v>
          </cell>
          <cell r="S52" t="str">
            <v>08304</v>
          </cell>
          <cell r="W52" t="str">
            <v>POLLUTION ABATEMENT</v>
          </cell>
          <cell r="X52">
            <v>70530</v>
          </cell>
        </row>
        <row r="53">
          <cell r="R53" t="str">
            <v>08305 - DONATIONS BY PRIVATE SECTOR COMPANIES</v>
          </cell>
          <cell r="S53" t="str">
            <v>08305</v>
          </cell>
          <cell r="W53" t="str">
            <v>POST-SECONDARY NON-TERTIARY EDUCATION</v>
          </cell>
          <cell r="X53">
            <v>70930</v>
          </cell>
        </row>
        <row r="54">
          <cell r="R54" t="str">
            <v>08306 - DONATIONS BY INDIVIDUALS</v>
          </cell>
          <cell r="S54" t="str">
            <v>08306</v>
          </cell>
          <cell r="W54" t="str">
            <v>PRE-PRIMARY EDUCATION</v>
          </cell>
          <cell r="X54">
            <v>70911</v>
          </cell>
        </row>
        <row r="55">
          <cell r="R55" t="str">
            <v>09101 - BI-LATERAL LOANS</v>
          </cell>
          <cell r="S55" t="str">
            <v>09101</v>
          </cell>
          <cell r="W55" t="str">
            <v>PRIMARY EDUCATION</v>
          </cell>
          <cell r="X55">
            <v>70912</v>
          </cell>
        </row>
        <row r="56">
          <cell r="R56" t="str">
            <v>09201 - AFRICAN DEVELOPMENT BANK</v>
          </cell>
          <cell r="S56" t="str">
            <v>09201</v>
          </cell>
          <cell r="W56" t="str">
            <v>PROTECTION OF BIODIVERSITY AND LANDSCAPE</v>
          </cell>
          <cell r="X56">
            <v>70540</v>
          </cell>
        </row>
        <row r="57">
          <cell r="R57" t="str">
            <v>09202 - AFRICAN DEVELOPMENT FUND</v>
          </cell>
          <cell r="S57" t="str">
            <v>09202</v>
          </cell>
          <cell r="W57" t="str">
            <v>PUBLIC DEBT TRANSACTIONS</v>
          </cell>
          <cell r="X57">
            <v>70170</v>
          </cell>
        </row>
        <row r="58">
          <cell r="R58" t="str">
            <v>09203 - ARAB BANK FOR ECONOMIC DEVELOPMENT(BADEA)</v>
          </cell>
          <cell r="S58" t="str">
            <v>09203</v>
          </cell>
          <cell r="W58" t="str">
            <v>PUBLIC HEALTH SERVICES</v>
          </cell>
          <cell r="X58">
            <v>70740</v>
          </cell>
        </row>
        <row r="59">
          <cell r="R59" t="str">
            <v>09204 - ARAB LOAN FUND FOR AFRICAN ARAB LEAGUE</v>
          </cell>
          <cell r="S59" t="str">
            <v>09204</v>
          </cell>
          <cell r="W59" t="str">
            <v>R &amp; D AGRICULTURE, FORESTRY, FISHING AND HUNTING</v>
          </cell>
          <cell r="X59">
            <v>70482</v>
          </cell>
        </row>
        <row r="60">
          <cell r="R60" t="str">
            <v>09205 - ECOWAS FUND</v>
          </cell>
          <cell r="S60" t="str">
            <v>09205</v>
          </cell>
          <cell r="W60" t="str">
            <v>R &amp; D COMMUNICATION</v>
          </cell>
          <cell r="X60">
            <v>70486</v>
          </cell>
        </row>
        <row r="61">
          <cell r="R61" t="str">
            <v>09206 - EUROPEAN DEVELOPMENT FUND</v>
          </cell>
          <cell r="S61" t="str">
            <v>09206</v>
          </cell>
          <cell r="W61" t="str">
            <v>R &amp; D EDUCATION</v>
          </cell>
          <cell r="X61">
            <v>70970</v>
          </cell>
        </row>
        <row r="62">
          <cell r="R62" t="str">
            <v>09207 - EUROPEAN UNION</v>
          </cell>
          <cell r="S62" t="str">
            <v>09207</v>
          </cell>
          <cell r="W62" t="str">
            <v>R &amp; D ENVIRONMENTAL PROTECTION</v>
          </cell>
          <cell r="X62">
            <v>70550</v>
          </cell>
        </row>
        <row r="63">
          <cell r="R63" t="str">
            <v>09208 - EUROPEAN INVESTMENT BANK</v>
          </cell>
          <cell r="S63" t="str">
            <v>09208</v>
          </cell>
          <cell r="W63" t="str">
            <v>R &amp; D GENERAL ECONOMIC, COMMERCIAL AND LABOUR AFFAIRS</v>
          </cell>
          <cell r="X63">
            <v>70481</v>
          </cell>
        </row>
        <row r="64">
          <cell r="R64" t="str">
            <v>09209 - IDA - AFRICAN FACILITY</v>
          </cell>
          <cell r="S64" t="str">
            <v>09209</v>
          </cell>
          <cell r="W64" t="str">
            <v>R &amp; D HEALTH</v>
          </cell>
          <cell r="X64">
            <v>70750</v>
          </cell>
        </row>
        <row r="65">
          <cell r="R65" t="str">
            <v>09210 - INT. BANK FOR RECONSTRUCTION &amp; DEVELOPMENT (IBRD)</v>
          </cell>
          <cell r="S65" t="str">
            <v>09210</v>
          </cell>
          <cell r="W65" t="str">
            <v>R &amp; D HOUSING AND COMMUNITY AMENITIES</v>
          </cell>
          <cell r="X65">
            <v>70650</v>
          </cell>
        </row>
        <row r="66">
          <cell r="R66" t="str">
            <v>09211 - INTERNATIONAL DEVELOPMENT ASSOCIATION (IDA)</v>
          </cell>
          <cell r="S66" t="str">
            <v>09211</v>
          </cell>
          <cell r="W66" t="str">
            <v>R &amp; D MINING, MANUFACTURING AND CONSTRUCTION</v>
          </cell>
          <cell r="X66">
            <v>70484</v>
          </cell>
        </row>
        <row r="67">
          <cell r="R67" t="str">
            <v>09212 - INTERNATIONAL FINANCE CORPORATION</v>
          </cell>
          <cell r="S67" t="str">
            <v>09212</v>
          </cell>
          <cell r="W67" t="str">
            <v>R &amp; D OTHER INDUSTRIES</v>
          </cell>
          <cell r="X67">
            <v>70487</v>
          </cell>
        </row>
        <row r="68">
          <cell r="R68" t="str">
            <v>09213 - INTERNATIONAL FUND FOR AGRICULTURAL DEVELOPMENT</v>
          </cell>
          <cell r="S68" t="str">
            <v>09213</v>
          </cell>
          <cell r="W68" t="str">
            <v>R &amp; D RECREATION, CULTURE AND RELIGION</v>
          </cell>
          <cell r="X68">
            <v>70850</v>
          </cell>
        </row>
        <row r="69">
          <cell r="R69" t="str">
            <v>09214 - INTERNATIONAL MONETARY FUND</v>
          </cell>
          <cell r="S69" t="str">
            <v>09214</v>
          </cell>
          <cell r="W69" t="str">
            <v>R &amp; D SOCIAL PROTECTION</v>
          </cell>
          <cell r="X69">
            <v>71080</v>
          </cell>
        </row>
        <row r="70">
          <cell r="R70" t="str">
            <v>09215 - NIGERIA TRUST FUND</v>
          </cell>
          <cell r="S70" t="str">
            <v>09215</v>
          </cell>
          <cell r="W70" t="str">
            <v>R &amp; D TRANSPORT</v>
          </cell>
          <cell r="X70">
            <v>70485</v>
          </cell>
        </row>
        <row r="71">
          <cell r="R71" t="str">
            <v>09216 - NORDIC DEVELOPMENT FUND</v>
          </cell>
          <cell r="S71" t="str">
            <v>09216</v>
          </cell>
          <cell r="W71" t="str">
            <v>R&amp;D GENERAL PUBLIC SERVICES</v>
          </cell>
          <cell r="X71">
            <v>70150</v>
          </cell>
        </row>
        <row r="72">
          <cell r="R72" t="str">
            <v>09217 - ORGANISATION OF PETROLEUM EXPORTING COUNTRIES</v>
          </cell>
          <cell r="S72" t="str">
            <v>09217</v>
          </cell>
          <cell r="W72" t="str">
            <v>RAILWAY TRANSPORT</v>
          </cell>
          <cell r="X72">
            <v>70453</v>
          </cell>
        </row>
        <row r="73">
          <cell r="R73" t="str">
            <v>09218 - UNITED NATIONS DEVELOPMENT PROGRAMME (UNDP)</v>
          </cell>
          <cell r="S73" t="str">
            <v>09218</v>
          </cell>
          <cell r="W73" t="str">
            <v>RECREATION, CULTURE AND RELIGION N.E.C.</v>
          </cell>
          <cell r="X73">
            <v>70860</v>
          </cell>
        </row>
        <row r="74">
          <cell r="R74" t="str">
            <v>09219 - UNITED NATIONS CHILDREN'S FUND (UNICEF)</v>
          </cell>
          <cell r="S74" t="str">
            <v>09219</v>
          </cell>
          <cell r="W74" t="str">
            <v>RECREATIONAL AND SPORTING SERVICES</v>
          </cell>
          <cell r="X74">
            <v>70810</v>
          </cell>
        </row>
        <row r="75">
          <cell r="R75" t="str">
            <v>09220 - UNITED NATIONS FUND  FOR POPUPLATION ACTIVITIES</v>
          </cell>
          <cell r="S75" t="str">
            <v>09220</v>
          </cell>
          <cell r="W75" t="str">
            <v>RELIGIOUS AND OTHER COMMUNITY SERVICES</v>
          </cell>
          <cell r="X75">
            <v>70840</v>
          </cell>
        </row>
        <row r="76">
          <cell r="R76" t="str">
            <v>09221 - WORLD BANK TRUST FUND</v>
          </cell>
          <cell r="S76" t="str">
            <v>09221</v>
          </cell>
          <cell r="W76" t="str">
            <v>ROAD TRANSPORT</v>
          </cell>
          <cell r="X76">
            <v>70451</v>
          </cell>
        </row>
        <row r="77">
          <cell r="R77" t="str">
            <v>09222 - WORLD FOOD PROGRAMME</v>
          </cell>
          <cell r="S77" t="str">
            <v>09222</v>
          </cell>
          <cell r="W77" t="str">
            <v>SECOND STAGE OF TERTIARY EDUCATION</v>
          </cell>
          <cell r="X77">
            <v>70942</v>
          </cell>
        </row>
        <row r="78">
          <cell r="R78" t="str">
            <v>09223 - UNITED NATIONS CAPITAL DEVELOPMENT FUND (UNCDF)</v>
          </cell>
          <cell r="S78" t="str">
            <v>09223</v>
          </cell>
          <cell r="W78" t="str">
            <v>SICKNESS</v>
          </cell>
          <cell r="X78">
            <v>71011</v>
          </cell>
        </row>
        <row r="79">
          <cell r="R79" t="str">
            <v>09224 - GLOBAL 2000</v>
          </cell>
          <cell r="S79" t="str">
            <v>09224</v>
          </cell>
          <cell r="W79" t="str">
            <v>SOCIAL EXCLUSION N.E.C.</v>
          </cell>
          <cell r="X79">
            <v>71070</v>
          </cell>
        </row>
        <row r="80">
          <cell r="R80" t="str">
            <v>09225 - UNITED NATIONS INDUSTRIAL DEVELOPMENT ORGANISATION (UNIDO)</v>
          </cell>
          <cell r="S80" t="str">
            <v>09225</v>
          </cell>
          <cell r="W80" t="str">
            <v>SOCIAL PROTECTION N.E.C.</v>
          </cell>
          <cell r="X80">
            <v>71090</v>
          </cell>
        </row>
        <row r="81">
          <cell r="R81" t="str">
            <v>09226 - MULTI-DONOR BUDGET SUPPORT</v>
          </cell>
          <cell r="S81" t="str">
            <v>09226</v>
          </cell>
          <cell r="W81" t="str">
            <v>SPECIALIZED HOSPITAL SERVICES</v>
          </cell>
          <cell r="X81">
            <v>70732</v>
          </cell>
        </row>
        <row r="82">
          <cell r="R82" t="str">
            <v>10101 - RETAINED INTERNALLY GENERATED REVENUE</v>
          </cell>
          <cell r="S82">
            <v>10101</v>
          </cell>
          <cell r="W82" t="str">
            <v>SPECIALIZED MEDICAL SERVICES</v>
          </cell>
          <cell r="X82">
            <v>70722</v>
          </cell>
        </row>
        <row r="83">
          <cell r="R83" t="str">
            <v>10102 - PTA CONTRIBUTIONS</v>
          </cell>
          <cell r="S83">
            <v>10102</v>
          </cell>
          <cell r="W83" t="str">
            <v>STREET LIGHTING</v>
          </cell>
          <cell r="X83">
            <v>70640</v>
          </cell>
        </row>
        <row r="84">
          <cell r="R84" t="str">
            <v>10103 - SCHOOL LEVIES</v>
          </cell>
          <cell r="S84">
            <v>10103</v>
          </cell>
          <cell r="W84" t="str">
            <v>SUBSIDIARY SERVICES TO EDUCATION</v>
          </cell>
          <cell r="X84">
            <v>70960</v>
          </cell>
        </row>
        <row r="85">
          <cell r="W85" t="str">
            <v>SURVIVORS</v>
          </cell>
          <cell r="X85">
            <v>71030</v>
          </cell>
        </row>
        <row r="86">
          <cell r="W86" t="str">
            <v>THERAPEUTIC APPLIANCES AND EQUIPTMENT</v>
          </cell>
          <cell r="X86">
            <v>70713</v>
          </cell>
        </row>
        <row r="87">
          <cell r="W87" t="str">
            <v>TOURISM</v>
          </cell>
          <cell r="X87">
            <v>70473</v>
          </cell>
        </row>
        <row r="88">
          <cell r="W88" t="str">
            <v>TRANSFERS OF A GENERAL CHARACTER BETWEEN DIFFERENT LEVELS OF GOVERNMENT</v>
          </cell>
          <cell r="X88">
            <v>70180</v>
          </cell>
        </row>
        <row r="89">
          <cell r="W89" t="str">
            <v>UNEMPLOYMENT</v>
          </cell>
          <cell r="X89">
            <v>71050</v>
          </cell>
        </row>
        <row r="90">
          <cell r="W90" t="str">
            <v>UPPER-SECONDARY EDUCATION</v>
          </cell>
          <cell r="X90">
            <v>70922</v>
          </cell>
        </row>
        <row r="91">
          <cell r="W91" t="str">
            <v>WASTE MANAGEMENT</v>
          </cell>
          <cell r="X91">
            <v>70510</v>
          </cell>
        </row>
        <row r="92">
          <cell r="W92" t="str">
            <v>WASTE WATER MANAGEMENT</v>
          </cell>
          <cell r="X92">
            <v>70520</v>
          </cell>
        </row>
        <row r="93">
          <cell r="W93" t="str">
            <v>WATER SUPPLY</v>
          </cell>
          <cell r="X93">
            <v>70630</v>
          </cell>
        </row>
        <row r="94">
          <cell r="W94" t="str">
            <v>WATER TRANSPORT</v>
          </cell>
          <cell r="X94">
            <v>70452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RECEIPTS"/>
      <sheetName val="CAPITAL ESTIMATES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ry_data_Sheet"/>
      <sheetName val="SIP Activity Sheet"/>
      <sheetName val="Chart_of_Accounts"/>
      <sheetName val="Costing Sheet"/>
      <sheetName val="Multiyear Costed Activity Sheet"/>
      <sheetName val="Multi-Year  Budget Recurrent"/>
      <sheetName val="Multi-Year  Budget Capital"/>
      <sheetName val="Budget Information Database"/>
    </sheetNames>
    <sheetDataSet>
      <sheetData sheetId="0"/>
      <sheetData sheetId="1"/>
      <sheetData sheetId="2">
        <row r="2">
          <cell r="B2" t="str">
            <v xml:space="preserve">RECURRENT EXPENDITURES </v>
          </cell>
          <cell r="C2" t="str">
            <v>CODE</v>
          </cell>
        </row>
        <row r="3">
          <cell r="B3" t="str">
            <v>Personnel Costs</v>
          </cell>
        </row>
        <row r="4">
          <cell r="B4" t="str">
            <v>PERSONNEL COST - GENERAL</v>
          </cell>
          <cell r="C4">
            <v>21000000</v>
          </cell>
        </row>
        <row r="5">
          <cell r="B5" t="str">
            <v>Salaries and Wages - General</v>
          </cell>
          <cell r="C5">
            <v>21010100</v>
          </cell>
        </row>
        <row r="6">
          <cell r="B6" t="str">
            <v>Basic Salary</v>
          </cell>
          <cell r="C6">
            <v>21010101</v>
          </cell>
        </row>
        <row r="7">
          <cell r="B7" t="str">
            <v>Overtime Payment</v>
          </cell>
          <cell r="C7">
            <v>21010102</v>
          </cell>
        </row>
        <row r="8">
          <cell r="B8" t="str">
            <v>Consolidated Revenue Fund Charges - Statutory Office Holder's Salaries and Allowances</v>
          </cell>
          <cell r="C8">
            <v>21010103</v>
          </cell>
        </row>
        <row r="9">
          <cell r="B9" t="str">
            <v>Basic Wages</v>
          </cell>
          <cell r="C9">
            <v>21010104</v>
          </cell>
        </row>
        <row r="10">
          <cell r="B10" t="str">
            <v xml:space="preserve"> </v>
          </cell>
        </row>
        <row r="11">
          <cell r="B11" t="str">
            <v xml:space="preserve"> Allowances - General</v>
          </cell>
          <cell r="C11">
            <v>21020100</v>
          </cell>
        </row>
        <row r="12">
          <cell r="B12" t="str">
            <v>Housing/Rent Allowance</v>
          </cell>
          <cell r="C12">
            <v>21020101</v>
          </cell>
        </row>
        <row r="13">
          <cell r="B13" t="str">
            <v>Transport Allowance</v>
          </cell>
          <cell r="C13">
            <v>21020102</v>
          </cell>
        </row>
        <row r="14">
          <cell r="B14" t="str">
            <v>Meal Subsidy</v>
          </cell>
          <cell r="C14">
            <v>21020103</v>
          </cell>
        </row>
        <row r="15">
          <cell r="B15" t="str">
            <v>Utility Allowance</v>
          </cell>
          <cell r="C15">
            <v>21020104</v>
          </cell>
        </row>
        <row r="16">
          <cell r="B16" t="str">
            <v>Entertainment Allowance</v>
          </cell>
          <cell r="C16">
            <v>21020105</v>
          </cell>
        </row>
        <row r="17">
          <cell r="B17" t="str">
            <v>Leave Allowance</v>
          </cell>
          <cell r="C17">
            <v>21020106</v>
          </cell>
        </row>
        <row r="18">
          <cell r="B18" t="str">
            <v>Domestic Staff Allowance</v>
          </cell>
          <cell r="C18">
            <v>21020107</v>
          </cell>
        </row>
        <row r="19">
          <cell r="B19" t="str">
            <v>Responsibility Allowance</v>
          </cell>
          <cell r="C19">
            <v>21020108</v>
          </cell>
        </row>
        <row r="20">
          <cell r="B20" t="str">
            <v>Furniture Allowance</v>
          </cell>
          <cell r="C20">
            <v>21020109</v>
          </cell>
        </row>
        <row r="21">
          <cell r="B21" t="str">
            <v>Shift Allowance</v>
          </cell>
          <cell r="C21">
            <v>21020110</v>
          </cell>
        </row>
        <row r="22">
          <cell r="B22" t="str">
            <v>Motor Vehicle Maint &amp; Fuelling Allowance</v>
          </cell>
          <cell r="C22">
            <v>21020111</v>
          </cell>
        </row>
        <row r="23">
          <cell r="B23" t="str">
            <v>Personal Assistant Allowance</v>
          </cell>
          <cell r="C23">
            <v>21020112</v>
          </cell>
        </row>
        <row r="24">
          <cell r="B24" t="str">
            <v>Acting Allowance</v>
          </cell>
          <cell r="C24">
            <v>21020113</v>
          </cell>
        </row>
        <row r="25">
          <cell r="B25" t="str">
            <v>Administrative Allowance</v>
          </cell>
          <cell r="C25">
            <v>21020114</v>
          </cell>
        </row>
        <row r="26">
          <cell r="B26" t="str">
            <v>Annual Allowance (Members)</v>
          </cell>
          <cell r="C26">
            <v>21020115</v>
          </cell>
        </row>
        <row r="27">
          <cell r="B27" t="str">
            <v>Board Members Allowance</v>
          </cell>
          <cell r="C27">
            <v>21020116</v>
          </cell>
        </row>
        <row r="28">
          <cell r="B28" t="str">
            <v>Incentive Allowance ( Budget etc)</v>
          </cell>
          <cell r="C28">
            <v>21020117</v>
          </cell>
        </row>
        <row r="29">
          <cell r="B29" t="str">
            <v>Call Duties Allowance</v>
          </cell>
          <cell r="C29">
            <v>21020118</v>
          </cell>
        </row>
        <row r="30">
          <cell r="B30" t="str">
            <v>Clinical Allowance</v>
          </cell>
          <cell r="C30">
            <v>21020119</v>
          </cell>
        </row>
        <row r="31">
          <cell r="B31" t="str">
            <v>Cold/Tea Allowance</v>
          </cell>
          <cell r="C31">
            <v>21020120</v>
          </cell>
        </row>
        <row r="32">
          <cell r="B32" t="str">
            <v>Constituency Allowance</v>
          </cell>
          <cell r="C32">
            <v>21020121</v>
          </cell>
        </row>
        <row r="33">
          <cell r="B33" t="str">
            <v>Exam Supervision Allowance</v>
          </cell>
          <cell r="C33">
            <v>21020122</v>
          </cell>
        </row>
        <row r="34">
          <cell r="B34" t="str">
            <v>Field/Trip Allowance</v>
          </cell>
          <cell r="C34">
            <v>21020123</v>
          </cell>
        </row>
        <row r="35">
          <cell r="B35" t="str">
            <v>Hazard Allowance</v>
          </cell>
          <cell r="C35">
            <v>21020124</v>
          </cell>
        </row>
        <row r="36">
          <cell r="B36" t="str">
            <v>Inducement Allowance</v>
          </cell>
          <cell r="C36">
            <v>21020125</v>
          </cell>
        </row>
        <row r="37">
          <cell r="B37" t="str">
            <v>Journal Allowance (Newspapers)</v>
          </cell>
          <cell r="C37">
            <v>21020126</v>
          </cell>
        </row>
        <row r="38">
          <cell r="B38" t="str">
            <v>Learned Society Allowance</v>
          </cell>
          <cell r="C38">
            <v>21020127</v>
          </cell>
        </row>
        <row r="39">
          <cell r="B39" t="str">
            <v>Local Society Allowance</v>
          </cell>
          <cell r="C39">
            <v>21020128</v>
          </cell>
        </row>
        <row r="40">
          <cell r="B40" t="str">
            <v>Maintenance of Quarters Allowance</v>
          </cell>
          <cell r="C40">
            <v>21020129</v>
          </cell>
        </row>
        <row r="41">
          <cell r="B41" t="str">
            <v>Medical Allowance</v>
          </cell>
          <cell r="C41">
            <v>21020130</v>
          </cell>
        </row>
        <row r="42">
          <cell r="B42" t="str">
            <v>Performance Bonus</v>
          </cell>
          <cell r="C42">
            <v>21020131</v>
          </cell>
        </row>
        <row r="43">
          <cell r="B43" t="str">
            <v>Professional Duty Allowance</v>
          </cell>
          <cell r="C43">
            <v>21020132</v>
          </cell>
        </row>
        <row r="44">
          <cell r="B44" t="str">
            <v>Recess Allowance (Members)</v>
          </cell>
          <cell r="C44">
            <v>21020133</v>
          </cell>
        </row>
        <row r="45">
          <cell r="B45" t="str">
            <v>Research/Academic Allowance</v>
          </cell>
          <cell r="C45">
            <v>21020134</v>
          </cell>
        </row>
        <row r="46">
          <cell r="B46" t="str">
            <v>Robe &amp; Outfit Allowances</v>
          </cell>
          <cell r="C46">
            <v>21020135</v>
          </cell>
        </row>
        <row r="47">
          <cell r="B47" t="str">
            <v>Rural Posting Allowance</v>
          </cell>
          <cell r="C47">
            <v>21020136</v>
          </cell>
        </row>
        <row r="48">
          <cell r="B48" t="str">
            <v>Science Teachers Allowance</v>
          </cell>
          <cell r="C48">
            <v>21020137</v>
          </cell>
        </row>
        <row r="49">
          <cell r="B49" t="str">
            <v>Teaching Allowance</v>
          </cell>
          <cell r="C49">
            <v>21020138</v>
          </cell>
        </row>
        <row r="50">
          <cell r="B50" t="str">
            <v>Weigh-in Allowance</v>
          </cell>
          <cell r="C50">
            <v>21020139</v>
          </cell>
        </row>
        <row r="51">
          <cell r="B51" t="str">
            <v>ADC/Orderlies Allowance</v>
          </cell>
          <cell r="C51">
            <v>21020140</v>
          </cell>
        </row>
        <row r="52">
          <cell r="B52" t="str">
            <v>Overtime Allowance</v>
          </cell>
          <cell r="C52">
            <v>21020141</v>
          </cell>
        </row>
        <row r="53">
          <cell r="B53" t="str">
            <v>TP/SIWES Allowance</v>
          </cell>
          <cell r="C53">
            <v>21020142</v>
          </cell>
        </row>
        <row r="54">
          <cell r="B54" t="str">
            <v>TSS Allowance (Qualified Teachers)</v>
          </cell>
          <cell r="C54">
            <v>21020143</v>
          </cell>
        </row>
        <row r="55">
          <cell r="B55" t="str">
            <v>TSS Allowance (Non Qualified Teachers)</v>
          </cell>
          <cell r="C55">
            <v>21020144</v>
          </cell>
        </row>
        <row r="56">
          <cell r="B56" t="str">
            <v>Legislative Allowance</v>
          </cell>
          <cell r="C56">
            <v>21020145</v>
          </cell>
        </row>
        <row r="57">
          <cell r="B57" t="str">
            <v>Chief Executive Allowance</v>
          </cell>
          <cell r="C57">
            <v>21020146</v>
          </cell>
        </row>
        <row r="58">
          <cell r="B58" t="str">
            <v>Legislative Aides Allowance</v>
          </cell>
          <cell r="C58">
            <v>21020147</v>
          </cell>
        </row>
        <row r="59">
          <cell r="B59" t="str">
            <v>Specialist Allowance</v>
          </cell>
          <cell r="C59">
            <v>21020148</v>
          </cell>
        </row>
        <row r="60">
          <cell r="B60" t="str">
            <v>Relief Allowance</v>
          </cell>
          <cell r="C60">
            <v>21020149</v>
          </cell>
        </row>
        <row r="61">
          <cell r="B61" t="str">
            <v>5% Teacher's Allowance</v>
          </cell>
          <cell r="C61">
            <v>21020150</v>
          </cell>
        </row>
        <row r="62">
          <cell r="B62" t="str">
            <v>Provisional Sum for Recruitment/Appointment</v>
          </cell>
          <cell r="C62">
            <v>21020151</v>
          </cell>
        </row>
        <row r="63">
          <cell r="B63" t="str">
            <v>Security Allowance</v>
          </cell>
          <cell r="C63">
            <v>21020152</v>
          </cell>
        </row>
        <row r="65">
          <cell r="B65" t="str">
            <v>Social Contribution - General</v>
          </cell>
          <cell r="C65">
            <v>21020200</v>
          </cell>
        </row>
        <row r="66">
          <cell r="B66" t="str">
            <v>NHIS Contribution</v>
          </cell>
          <cell r="C66">
            <v>21020201</v>
          </cell>
        </row>
        <row r="67">
          <cell r="B67" t="str">
            <v>Contribution Pension</v>
          </cell>
          <cell r="C67">
            <v>21020202</v>
          </cell>
        </row>
        <row r="68">
          <cell r="B68" t="str">
            <v>Group Life Insurance</v>
          </cell>
          <cell r="C68">
            <v>21020203</v>
          </cell>
        </row>
        <row r="69">
          <cell r="B69" t="str">
            <v>Employer's Compensation Fund</v>
          </cell>
          <cell r="C69">
            <v>21020204</v>
          </cell>
        </row>
        <row r="70">
          <cell r="B70" t="str">
            <v>Housing Fund Contribution</v>
          </cell>
          <cell r="C70">
            <v>21020205</v>
          </cell>
        </row>
        <row r="72">
          <cell r="B72" t="str">
            <v>Social Benefits - General</v>
          </cell>
          <cell r="C72">
            <v>22010000</v>
          </cell>
        </row>
        <row r="73">
          <cell r="B73" t="str">
            <v>Gratuity</v>
          </cell>
          <cell r="C73">
            <v>22010101</v>
          </cell>
        </row>
        <row r="74">
          <cell r="B74" t="str">
            <v>Pension</v>
          </cell>
          <cell r="C74">
            <v>22010102</v>
          </cell>
        </row>
        <row r="75">
          <cell r="B75" t="str">
            <v>Death Benefit</v>
          </cell>
          <cell r="C75">
            <v>22010103</v>
          </cell>
        </row>
        <row r="76">
          <cell r="B76" t="str">
            <v>Govt 10% Contribution to Pension Scheme</v>
          </cell>
          <cell r="C76">
            <v>22010104</v>
          </cell>
        </row>
        <row r="77">
          <cell r="B77" t="str">
            <v>Other Pension Allowance Ex Gratia</v>
          </cell>
          <cell r="C77">
            <v>22010105</v>
          </cell>
        </row>
        <row r="78">
          <cell r="B78" t="str">
            <v>Contract Gratuities</v>
          </cell>
          <cell r="C78">
            <v>22010106</v>
          </cell>
        </row>
        <row r="79">
          <cell r="B79" t="str">
            <v>Lump Sum Compensation</v>
          </cell>
          <cell r="C79">
            <v>22010107</v>
          </cell>
        </row>
        <row r="80">
          <cell r="B80" t="str">
            <v>Severance Pay for Political office appointees</v>
          </cell>
          <cell r="C80">
            <v>22010108</v>
          </cell>
        </row>
        <row r="81">
          <cell r="B81" t="str">
            <v>Severance Gratuity</v>
          </cell>
          <cell r="C81">
            <v>22010109</v>
          </cell>
        </row>
        <row r="82">
          <cell r="B82" t="str">
            <v>Retirement/death Gratuity</v>
          </cell>
          <cell r="C82">
            <v>22010110</v>
          </cell>
        </row>
        <row r="83">
          <cell r="B83" t="str">
            <v>Severance Allowance</v>
          </cell>
          <cell r="C83">
            <v>22010111</v>
          </cell>
        </row>
        <row r="84">
          <cell r="B84" t="str">
            <v>Employer Social Contribution</v>
          </cell>
          <cell r="C84">
            <v>22010112</v>
          </cell>
        </row>
        <row r="85">
          <cell r="B85" t="str">
            <v>Contract Gratuities Payment</v>
          </cell>
          <cell r="C85">
            <v>22010113</v>
          </cell>
        </row>
        <row r="88">
          <cell r="B88" t="str">
            <v>OVERHEAD COST GENERAL</v>
          </cell>
          <cell r="C88">
            <v>22000000</v>
          </cell>
        </row>
        <row r="89">
          <cell r="B89" t="str">
            <v>Transport and Traveling General</v>
          </cell>
          <cell r="C89">
            <v>22020100</v>
          </cell>
        </row>
        <row r="90">
          <cell r="B90" t="str">
            <v>Local Travel and Transport - Training</v>
          </cell>
          <cell r="C90">
            <v>22020101</v>
          </cell>
        </row>
        <row r="91">
          <cell r="B91" t="str">
            <v>Local Travel and Transport - Others</v>
          </cell>
          <cell r="C91">
            <v>22020102</v>
          </cell>
        </row>
        <row r="92">
          <cell r="B92" t="str">
            <v>International Transport and Travels - Training</v>
          </cell>
          <cell r="C92">
            <v>22020103</v>
          </cell>
        </row>
        <row r="93">
          <cell r="B93" t="str">
            <v>International Transport and Travels - Others</v>
          </cell>
          <cell r="C93">
            <v>22020104</v>
          </cell>
        </row>
        <row r="94">
          <cell r="B94" t="str">
            <v>Duty tour Allowance-Civil Servant</v>
          </cell>
          <cell r="C94">
            <v>22020105</v>
          </cell>
        </row>
        <row r="95">
          <cell r="B95" t="str">
            <v>International Transport and Travel-Estacodes</v>
          </cell>
          <cell r="C95">
            <v>22020106</v>
          </cell>
        </row>
        <row r="96">
          <cell r="B96" t="str">
            <v>International Transport and Travel-Passage</v>
          </cell>
          <cell r="C96">
            <v>22020107</v>
          </cell>
        </row>
        <row r="97">
          <cell r="B97" t="str">
            <v>Local Transport and Travel-Civil Servants</v>
          </cell>
          <cell r="C97">
            <v>22020108</v>
          </cell>
        </row>
        <row r="98">
          <cell r="B98" t="str">
            <v>Local Transport and Travelling(Training)-Passage</v>
          </cell>
          <cell r="C98">
            <v>22020109</v>
          </cell>
        </row>
        <row r="99">
          <cell r="B99" t="str">
            <v>International Transport and Travelling(Training)-Passage</v>
          </cell>
          <cell r="C99">
            <v>22020110</v>
          </cell>
        </row>
        <row r="100">
          <cell r="B100" t="str">
            <v>International Training(Regular)</v>
          </cell>
          <cell r="C100">
            <v>22020111</v>
          </cell>
        </row>
        <row r="101">
          <cell r="B101" t="str">
            <v>International Training(Sem. Conf. and Workshop)</v>
          </cell>
          <cell r="C101">
            <v>22020112</v>
          </cell>
        </row>
        <row r="102">
          <cell r="B102" t="str">
            <v>Local Training(Regular)</v>
          </cell>
          <cell r="C102">
            <v>22020113</v>
          </cell>
        </row>
        <row r="103">
          <cell r="B103" t="str">
            <v>Local Training(Seminar,Conf. &amp; Workshop)</v>
          </cell>
          <cell r="C103">
            <v>22020114</v>
          </cell>
        </row>
        <row r="104">
          <cell r="B104" t="str">
            <v>Int'l &amp; travelling ( Muslim &amp; Christian )</v>
          </cell>
          <cell r="C104">
            <v>22020115</v>
          </cell>
        </row>
        <row r="107">
          <cell r="B107" t="str">
            <v>Utilities - General</v>
          </cell>
          <cell r="C107">
            <v>22020200</v>
          </cell>
        </row>
        <row r="108">
          <cell r="B108" t="str">
            <v>Electricity Charges</v>
          </cell>
          <cell r="C108">
            <v>22020201</v>
          </cell>
        </row>
        <row r="109">
          <cell r="B109" t="str">
            <v>Telephone Charges</v>
          </cell>
          <cell r="C109">
            <v>22020202</v>
          </cell>
        </row>
        <row r="110">
          <cell r="B110" t="str">
            <v>Internet Access Charges</v>
          </cell>
          <cell r="C110">
            <v>22020203</v>
          </cell>
        </row>
        <row r="111">
          <cell r="B111" t="str">
            <v>Satellite Broadcasting Access Charges</v>
          </cell>
          <cell r="C111">
            <v>22020204</v>
          </cell>
        </row>
        <row r="112">
          <cell r="B112" t="str">
            <v>Water Rates</v>
          </cell>
          <cell r="C112">
            <v>22020205</v>
          </cell>
        </row>
        <row r="113">
          <cell r="B113" t="str">
            <v>Sewerage Charges</v>
          </cell>
          <cell r="C113">
            <v>22020206</v>
          </cell>
        </row>
        <row r="114">
          <cell r="B114" t="str">
            <v>Leased Communication Lines(s)</v>
          </cell>
          <cell r="C114">
            <v>22020207</v>
          </cell>
        </row>
        <row r="115">
          <cell r="B115" t="str">
            <v>Software Charges/License Renewal</v>
          </cell>
          <cell r="C115">
            <v>22020208</v>
          </cell>
        </row>
        <row r="116">
          <cell r="B116" t="str">
            <v>Postages and Courier Services</v>
          </cell>
          <cell r="C116">
            <v>22020209</v>
          </cell>
        </row>
        <row r="118">
          <cell r="B118" t="str">
            <v>Materials and Supplies - General</v>
          </cell>
          <cell r="C118">
            <v>22020300</v>
          </cell>
        </row>
        <row r="119">
          <cell r="B119" t="str">
            <v>Office Stationeries/Computer Consumables</v>
          </cell>
          <cell r="C119">
            <v>22020301</v>
          </cell>
        </row>
        <row r="120">
          <cell r="B120" t="str">
            <v>Books</v>
          </cell>
          <cell r="C120">
            <v>22020302</v>
          </cell>
        </row>
        <row r="121">
          <cell r="B121" t="str">
            <v>Newspapers</v>
          </cell>
          <cell r="C121">
            <v>22020303</v>
          </cell>
        </row>
        <row r="122">
          <cell r="B122" t="str">
            <v>Magazines &amp; Periodicals</v>
          </cell>
          <cell r="C122">
            <v>22020304</v>
          </cell>
        </row>
        <row r="123">
          <cell r="B123" t="str">
            <v>Printing of Non Security Documents</v>
          </cell>
          <cell r="C123">
            <v>22020305</v>
          </cell>
        </row>
        <row r="124">
          <cell r="B124" t="str">
            <v>Printing of Security Documents</v>
          </cell>
          <cell r="C124">
            <v>22020306</v>
          </cell>
        </row>
        <row r="125">
          <cell r="B125" t="str">
            <v>Drugs &amp; Medical Supplies</v>
          </cell>
          <cell r="C125">
            <v>22020307</v>
          </cell>
        </row>
        <row r="126">
          <cell r="B126" t="str">
            <v>Field &amp; Camping Materials Supplies</v>
          </cell>
          <cell r="C126">
            <v>22020308</v>
          </cell>
        </row>
        <row r="127">
          <cell r="B127" t="str">
            <v>Uniforms &amp; Other Clothing</v>
          </cell>
          <cell r="C127">
            <v>22020309</v>
          </cell>
        </row>
        <row r="128">
          <cell r="B128" t="str">
            <v>Teaching aids/ Instruction Materials</v>
          </cell>
          <cell r="C128">
            <v>22020310</v>
          </cell>
        </row>
        <row r="129">
          <cell r="B129" t="str">
            <v>Food Stuff /Catering Materials Supplies</v>
          </cell>
          <cell r="C129">
            <v>22020311</v>
          </cell>
        </row>
        <row r="130">
          <cell r="B130" t="str">
            <v>Fire Fighting Materials</v>
          </cell>
          <cell r="C130">
            <v>22020312</v>
          </cell>
        </row>
        <row r="131">
          <cell r="B131" t="str">
            <v>Government Funds &amp; Store Losses</v>
          </cell>
          <cell r="C131">
            <v>22020313</v>
          </cell>
        </row>
        <row r="132">
          <cell r="B132" t="str">
            <v>Robe &amp; Outfit Allowance</v>
          </cell>
          <cell r="C132">
            <v>22020314</v>
          </cell>
        </row>
        <row r="133">
          <cell r="B133" t="str">
            <v>Computer Materials &amp; Supply</v>
          </cell>
          <cell r="C133">
            <v>22020315</v>
          </cell>
        </row>
        <row r="135">
          <cell r="B135" t="str">
            <v>Maintenance Services - General</v>
          </cell>
          <cell r="C135">
            <v>22020400</v>
          </cell>
        </row>
        <row r="136">
          <cell r="B136" t="str">
            <v>Maintenance of Motor Vehicle/Transport Equipment</v>
          </cell>
          <cell r="C136">
            <v>22020401</v>
          </cell>
        </row>
        <row r="137">
          <cell r="B137" t="str">
            <v>Maintenance of Office Furniture</v>
          </cell>
          <cell r="C137">
            <v>22020402</v>
          </cell>
        </row>
        <row r="138">
          <cell r="B138" t="str">
            <v>Maintenance of Office Building Residential Qtrs</v>
          </cell>
          <cell r="C138">
            <v>22020403</v>
          </cell>
        </row>
        <row r="139">
          <cell r="B139" t="str">
            <v>Maintenance of Office / IT Equipments</v>
          </cell>
          <cell r="C139">
            <v>22020404</v>
          </cell>
        </row>
        <row r="140">
          <cell r="B140" t="str">
            <v>Maintenance of Plants &amp; Generators</v>
          </cell>
          <cell r="C140">
            <v>22020405</v>
          </cell>
        </row>
        <row r="141">
          <cell r="B141" t="str">
            <v>Other Maintenance Services</v>
          </cell>
          <cell r="C141">
            <v>22020406</v>
          </cell>
        </row>
        <row r="142">
          <cell r="B142" t="str">
            <v>Maintenance of Aircrafts</v>
          </cell>
          <cell r="C142">
            <v>22020407</v>
          </cell>
        </row>
        <row r="143">
          <cell r="B143" t="str">
            <v>Maintenance of Sea Boats</v>
          </cell>
          <cell r="C143">
            <v>22020408</v>
          </cell>
        </row>
        <row r="144">
          <cell r="B144" t="str">
            <v>Maintenance of Railway Equipments</v>
          </cell>
          <cell r="C144">
            <v>22020409</v>
          </cell>
        </row>
        <row r="145">
          <cell r="B145" t="str">
            <v>Maintenance of Street Lightings</v>
          </cell>
          <cell r="C145">
            <v>22020410</v>
          </cell>
        </row>
        <row r="146">
          <cell r="B146" t="str">
            <v>Maintenance of Communication Equipments</v>
          </cell>
          <cell r="C146">
            <v>22020411</v>
          </cell>
        </row>
        <row r="147">
          <cell r="B147" t="str">
            <v>Maintenance of Markets/Public Places</v>
          </cell>
          <cell r="C147">
            <v>22020412</v>
          </cell>
        </row>
        <row r="148">
          <cell r="B148" t="str">
            <v>Minor Road Maintenance</v>
          </cell>
          <cell r="C148">
            <v>22020413</v>
          </cell>
        </row>
        <row r="149">
          <cell r="B149" t="str">
            <v>Maint. Of dumpsites &amp; Evacuation of cacases</v>
          </cell>
          <cell r="C149">
            <v>22020414</v>
          </cell>
        </row>
        <row r="150">
          <cell r="B150" t="str">
            <v>Maint. Of Computer &amp; ICT Equipment dumpsites &amp; Evacuation of cacases</v>
          </cell>
          <cell r="C150">
            <v>22020414</v>
          </cell>
        </row>
        <row r="151">
          <cell r="B151" t="str">
            <v>Upkeep of Govt. House/Cleaning Services</v>
          </cell>
          <cell r="C151">
            <v>22020415</v>
          </cell>
        </row>
        <row r="152">
          <cell r="B152" t="str">
            <v>Upkeep of Offices /Cleaning Services</v>
          </cell>
          <cell r="C152">
            <v>22020416</v>
          </cell>
        </row>
        <row r="153">
          <cell r="B153" t="str">
            <v>Maint. Of Science Laboratory</v>
          </cell>
          <cell r="C153">
            <v>22020417</v>
          </cell>
        </row>
        <row r="155">
          <cell r="B155" t="str">
            <v>Training - General</v>
          </cell>
          <cell r="C155">
            <v>22020500</v>
          </cell>
        </row>
        <row r="156">
          <cell r="B156" t="str">
            <v>Local Training</v>
          </cell>
          <cell r="C156">
            <v>22020501</v>
          </cell>
        </row>
        <row r="157">
          <cell r="B157" t="str">
            <v>International Training</v>
          </cell>
          <cell r="C157">
            <v>22020502</v>
          </cell>
        </row>
        <row r="158">
          <cell r="B158" t="str">
            <v>Local Training ( Regular)</v>
          </cell>
          <cell r="C158">
            <v>22020503</v>
          </cell>
        </row>
        <row r="159">
          <cell r="B159" t="str">
            <v>Local Training( Seminars, Conf. &amp; W/Shop</v>
          </cell>
          <cell r="C159">
            <v>22020504</v>
          </cell>
        </row>
        <row r="160">
          <cell r="B160" t="str">
            <v>Professional Development Others</v>
          </cell>
          <cell r="C160">
            <v>22020505</v>
          </cell>
        </row>
        <row r="161">
          <cell r="B161" t="str">
            <v>Practicing Licence Fee( Charges)</v>
          </cell>
          <cell r="C161">
            <v>22020506</v>
          </cell>
        </row>
        <row r="162">
          <cell r="B162" t="str">
            <v>Seminars/Workshops for Traditional Institutions</v>
          </cell>
          <cell r="C162">
            <v>22020507</v>
          </cell>
        </row>
        <row r="165">
          <cell r="B165" t="str">
            <v>Other Services - General</v>
          </cell>
          <cell r="C165">
            <v>22020600</v>
          </cell>
        </row>
        <row r="166">
          <cell r="B166" t="str">
            <v>Security Services</v>
          </cell>
          <cell r="C166">
            <v>22020601</v>
          </cell>
        </row>
        <row r="167">
          <cell r="B167" t="str">
            <v>Office Rent</v>
          </cell>
          <cell r="C167">
            <v>22020602</v>
          </cell>
        </row>
        <row r="168">
          <cell r="B168" t="str">
            <v>Residential Rent</v>
          </cell>
          <cell r="C168">
            <v>22020603</v>
          </cell>
        </row>
        <row r="169">
          <cell r="B169" t="str">
            <v>Security Vote (Including Operations)</v>
          </cell>
          <cell r="C169">
            <v>22020604</v>
          </cell>
        </row>
        <row r="170">
          <cell r="B170" t="str">
            <v>Cleaning &amp;Fumigation Services</v>
          </cell>
          <cell r="C170">
            <v>22020605</v>
          </cell>
        </row>
        <row r="171">
          <cell r="B171" t="str">
            <v>Security Vote (Preventive &amp; Supportive Measure)</v>
          </cell>
          <cell r="C171">
            <v>22020606</v>
          </cell>
        </row>
        <row r="172">
          <cell r="B172" t="str">
            <v>Overseas Medical Treatment &amp; Expenses</v>
          </cell>
          <cell r="C172">
            <v>22020607</v>
          </cell>
        </row>
        <row r="173">
          <cell r="B173" t="str">
            <v>ADC/Orderlies &amp; Other Escort Expenditure</v>
          </cell>
          <cell r="C173">
            <v>22020608</v>
          </cell>
        </row>
        <row r="174">
          <cell r="B174" t="str">
            <v>Overhead Cost payment to Hospitals</v>
          </cell>
          <cell r="C174">
            <v>22020609</v>
          </cell>
        </row>
        <row r="175">
          <cell r="B175" t="str">
            <v>HIV Intervention Fund</v>
          </cell>
          <cell r="C175">
            <v>22020610</v>
          </cell>
        </row>
        <row r="178">
          <cell r="B178" t="str">
            <v>Consulting and Professional Services General</v>
          </cell>
          <cell r="C178">
            <v>22020700</v>
          </cell>
        </row>
        <row r="179">
          <cell r="B179" t="str">
            <v>Financial Consulting</v>
          </cell>
          <cell r="C179">
            <v>22020701</v>
          </cell>
        </row>
        <row r="180">
          <cell r="B180" t="str">
            <v>Information Technology Consulting</v>
          </cell>
          <cell r="C180">
            <v>22020702</v>
          </cell>
        </row>
        <row r="181">
          <cell r="B181" t="str">
            <v>Legal Services</v>
          </cell>
          <cell r="C181">
            <v>22020703</v>
          </cell>
        </row>
        <row r="182">
          <cell r="B182" t="str">
            <v>Engineering Services</v>
          </cell>
          <cell r="C182">
            <v>22020704</v>
          </cell>
        </row>
        <row r="183">
          <cell r="B183" t="str">
            <v>Architectural Services</v>
          </cell>
          <cell r="C183">
            <v>22020705</v>
          </cell>
        </row>
        <row r="184">
          <cell r="B184" t="str">
            <v>Surveying Services</v>
          </cell>
          <cell r="C184">
            <v>22020706</v>
          </cell>
        </row>
        <row r="185">
          <cell r="B185" t="str">
            <v>Agricultural Consulting</v>
          </cell>
          <cell r="C185">
            <v>22020707</v>
          </cell>
        </row>
        <row r="186">
          <cell r="B186" t="str">
            <v>Medical Consulting</v>
          </cell>
          <cell r="C186">
            <v>22020708</v>
          </cell>
        </row>
        <row r="187">
          <cell r="B187" t="str">
            <v>Health Consultancy Services</v>
          </cell>
          <cell r="C187">
            <v>22020708</v>
          </cell>
        </row>
        <row r="188">
          <cell r="B188" t="str">
            <v>Audit Fees</v>
          </cell>
          <cell r="C188">
            <v>22020709</v>
          </cell>
        </row>
        <row r="189">
          <cell r="B189" t="str">
            <v>Economic &amp; fin. Consulting Services</v>
          </cell>
          <cell r="C189">
            <v>22020710</v>
          </cell>
        </row>
        <row r="190">
          <cell r="B190" t="str">
            <v>Capacity Building( Part- time Services Delivery)</v>
          </cell>
          <cell r="C190">
            <v>22020711</v>
          </cell>
        </row>
        <row r="191">
          <cell r="B191" t="str">
            <v>Design  Services</v>
          </cell>
          <cell r="C191">
            <v>22020712</v>
          </cell>
        </row>
        <row r="194">
          <cell r="B194" t="str">
            <v>Fuel and Lubricant General</v>
          </cell>
          <cell r="C194">
            <v>22020800</v>
          </cell>
        </row>
        <row r="195">
          <cell r="B195" t="str">
            <v>Motor Vehicle Fuel Cost</v>
          </cell>
          <cell r="C195">
            <v>22020801</v>
          </cell>
        </row>
        <row r="196">
          <cell r="B196" t="str">
            <v>Other Transport Equipment Fuel Cost</v>
          </cell>
          <cell r="C196">
            <v>22020802</v>
          </cell>
        </row>
        <row r="197">
          <cell r="B197" t="str">
            <v>Plant/Generator Fuel Cost</v>
          </cell>
          <cell r="C197">
            <v>22020803</v>
          </cell>
        </row>
        <row r="198">
          <cell r="B198" t="str">
            <v>Aircraft Fuel Cost</v>
          </cell>
          <cell r="C198">
            <v>22020804</v>
          </cell>
        </row>
        <row r="199">
          <cell r="B199" t="str">
            <v>Sea Boat Fuel Cost</v>
          </cell>
          <cell r="C199">
            <v>22020805</v>
          </cell>
        </row>
        <row r="200">
          <cell r="B200" t="str">
            <v>Cooking Gas/Fuel Cost</v>
          </cell>
          <cell r="C200">
            <v>22020806</v>
          </cell>
        </row>
        <row r="201">
          <cell r="B201" t="str">
            <v>Regional Water Plants Fuelling</v>
          </cell>
          <cell r="C201">
            <v>22020807</v>
          </cell>
        </row>
        <row r="204">
          <cell r="B204" t="str">
            <v>Financial Charges General</v>
          </cell>
          <cell r="C204">
            <v>22020900</v>
          </cell>
        </row>
        <row r="205">
          <cell r="B205" t="str">
            <v>Bank Charges (Other than Interest)</v>
          </cell>
          <cell r="C205">
            <v>22020901</v>
          </cell>
        </row>
        <row r="206">
          <cell r="B206" t="str">
            <v>Insurance Premium</v>
          </cell>
          <cell r="C206">
            <v>22020902</v>
          </cell>
        </row>
        <row r="207">
          <cell r="B207" t="str">
            <v>Loss on Foreign Exchange</v>
          </cell>
          <cell r="C207">
            <v>22020903</v>
          </cell>
        </row>
        <row r="208">
          <cell r="B208" t="str">
            <v>Other CRF Bank Charges</v>
          </cell>
          <cell r="C208">
            <v>22020904</v>
          </cell>
        </row>
        <row r="209">
          <cell r="B209" t="str">
            <v>National Health Insurance Scheme Contribution</v>
          </cell>
          <cell r="C209">
            <v>22020905</v>
          </cell>
        </row>
        <row r="210">
          <cell r="B210" t="str">
            <v>Cost of Revenue Collection</v>
          </cell>
          <cell r="C210">
            <v>22020906</v>
          </cell>
        </row>
        <row r="211">
          <cell r="B211" t="str">
            <v>Cost of Borrowing</v>
          </cell>
          <cell r="C211">
            <v>22020907</v>
          </cell>
        </row>
        <row r="212">
          <cell r="B212" t="str">
            <v xml:space="preserve">National Social Insurance Scheme </v>
          </cell>
          <cell r="C212">
            <v>22020908</v>
          </cell>
        </row>
        <row r="213">
          <cell r="B213" t="str">
            <v>Insurance  On Capital Assets</v>
          </cell>
          <cell r="C213">
            <v>22020909</v>
          </cell>
        </row>
        <row r="216">
          <cell r="B216" t="str">
            <v>Miscellaneous - General</v>
          </cell>
          <cell r="C216">
            <v>22021000</v>
          </cell>
        </row>
        <row r="217">
          <cell r="B217" t="str">
            <v>Refreshment &amp; Meals</v>
          </cell>
          <cell r="C217">
            <v>22021001</v>
          </cell>
        </row>
        <row r="218">
          <cell r="B218" t="str">
            <v>Honorarium &amp; Sitting Allowance</v>
          </cell>
          <cell r="C218">
            <v>22021002</v>
          </cell>
        </row>
        <row r="219">
          <cell r="B219" t="str">
            <v>Publicity &amp; Advertisements</v>
          </cell>
          <cell r="C219">
            <v>22021003</v>
          </cell>
        </row>
        <row r="220">
          <cell r="B220" t="str">
            <v>Medical Expenses</v>
          </cell>
          <cell r="C220">
            <v>22021004</v>
          </cell>
        </row>
        <row r="221">
          <cell r="B221" t="str">
            <v>Service School Fees Payment</v>
          </cell>
          <cell r="C221">
            <v>22021005</v>
          </cell>
        </row>
        <row r="222">
          <cell r="B222" t="str">
            <v>Postages &amp; Courier Services</v>
          </cell>
          <cell r="C222">
            <v>22021006</v>
          </cell>
        </row>
        <row r="223">
          <cell r="B223" t="str">
            <v>Welfare Packages</v>
          </cell>
          <cell r="C223">
            <v>22021007</v>
          </cell>
        </row>
        <row r="224">
          <cell r="B224" t="str">
            <v>Subscription to Professional Bodies</v>
          </cell>
          <cell r="C224">
            <v>22021008</v>
          </cell>
        </row>
        <row r="225">
          <cell r="B225" t="str">
            <v>Sporting Activities</v>
          </cell>
          <cell r="C225">
            <v>22021009</v>
          </cell>
        </row>
        <row r="226">
          <cell r="B226" t="str">
            <v>Direct Teaching &amp; Laboratory Cost</v>
          </cell>
          <cell r="C226">
            <v>22021010</v>
          </cell>
        </row>
        <row r="227">
          <cell r="B227" t="str">
            <v>Recruitment and Appointmen t (Service Wide)</v>
          </cell>
          <cell r="C227">
            <v>22021011</v>
          </cell>
        </row>
        <row r="228">
          <cell r="B228" t="str">
            <v>Dicipline and Appointment (Service Wide)</v>
          </cell>
          <cell r="C228">
            <v>22021012</v>
          </cell>
        </row>
        <row r="229">
          <cell r="B229" t="str">
            <v>Promotionf (Service Wide)</v>
          </cell>
          <cell r="C229">
            <v>22021013</v>
          </cell>
        </row>
        <row r="230">
          <cell r="B230" t="str">
            <v xml:space="preserve">Annual Budget Expenses and Administration </v>
          </cell>
          <cell r="C230">
            <v>22021014</v>
          </cell>
        </row>
        <row r="231">
          <cell r="B231" t="str">
            <v>Creche</v>
          </cell>
          <cell r="C231">
            <v>22021015</v>
          </cell>
        </row>
        <row r="232">
          <cell r="B232" t="str">
            <v>Servicom</v>
          </cell>
          <cell r="C232">
            <v>22021016</v>
          </cell>
        </row>
        <row r="233">
          <cell r="B233" t="str">
            <v>Anti-Corruption</v>
          </cell>
          <cell r="C233">
            <v>22021017</v>
          </cell>
        </row>
        <row r="234">
          <cell r="B234" t="str">
            <v>Gender</v>
          </cell>
          <cell r="C234">
            <v>22021018</v>
          </cell>
        </row>
        <row r="235">
          <cell r="B235" t="str">
            <v>Medical Expenses - International</v>
          </cell>
          <cell r="C235">
            <v>22021019</v>
          </cell>
        </row>
        <row r="236">
          <cell r="B236" t="str">
            <v>Foreign Scholarship Scheme</v>
          </cell>
          <cell r="C236">
            <v>22021020</v>
          </cell>
        </row>
        <row r="237">
          <cell r="B237" t="str">
            <v>Special Days/Celebrations</v>
          </cell>
          <cell r="C237">
            <v>22021021</v>
          </cell>
        </row>
        <row r="238">
          <cell r="B238" t="str">
            <v>Donations to Institutions &amp; Organisations</v>
          </cell>
          <cell r="C238">
            <v>22021022</v>
          </cell>
        </row>
        <row r="239">
          <cell r="B239" t="str">
            <v>Final Accounts and Budget Preparation Expenses</v>
          </cell>
          <cell r="C239">
            <v>22021023</v>
          </cell>
        </row>
        <row r="240">
          <cell r="B240" t="str">
            <v>Committees &amp; Commissions Expenses</v>
          </cell>
          <cell r="C240">
            <v>22021024</v>
          </cell>
        </row>
        <row r="241">
          <cell r="B241" t="str">
            <v>Compensations</v>
          </cell>
          <cell r="C241">
            <v>22021025</v>
          </cell>
        </row>
        <row r="242">
          <cell r="B242" t="str">
            <v>Entertainment &amp; Hospitality</v>
          </cell>
          <cell r="C242">
            <v>22021026</v>
          </cell>
        </row>
        <row r="243">
          <cell r="B243" t="str">
            <v>Traditional Gifts</v>
          </cell>
          <cell r="C243">
            <v>22021027</v>
          </cell>
        </row>
        <row r="244">
          <cell r="B244" t="str">
            <v>Settlement of Outstanding Recurrent liabilities</v>
          </cell>
          <cell r="C244">
            <v>22021028</v>
          </cell>
        </row>
        <row r="245">
          <cell r="B245" t="str">
            <v>Supplementary Support to NYSC</v>
          </cell>
          <cell r="C245">
            <v>22021029</v>
          </cell>
        </row>
        <row r="246">
          <cell r="B246" t="str">
            <v>Third Party Funds</v>
          </cell>
          <cell r="C246">
            <v>22021030</v>
          </cell>
        </row>
        <row r="247">
          <cell r="B247" t="str">
            <v>Student Allowance/Local Scholarship</v>
          </cell>
          <cell r="C247">
            <v>22021031</v>
          </cell>
        </row>
        <row r="248">
          <cell r="B248" t="str">
            <v>Industrial Attachment Supervision</v>
          </cell>
          <cell r="C248">
            <v>22021032</v>
          </cell>
        </row>
        <row r="249">
          <cell r="B249" t="str">
            <v>Technology Teacher Reserch &amp; Development</v>
          </cell>
          <cell r="C249">
            <v>22021033</v>
          </cell>
        </row>
        <row r="250">
          <cell r="B250" t="str">
            <v>Technology Reserch &amp; Development</v>
          </cell>
          <cell r="C250">
            <v>22021034</v>
          </cell>
        </row>
        <row r="251">
          <cell r="B251" t="str">
            <v>Local Techology Support</v>
          </cell>
          <cell r="C251">
            <v>22021035</v>
          </cell>
        </row>
        <row r="252">
          <cell r="B252" t="str">
            <v>Accreditation</v>
          </cell>
          <cell r="C252">
            <v>22021036</v>
          </cell>
        </row>
        <row r="255">
          <cell r="B255" t="str">
            <v>Loans and Advances General</v>
          </cell>
          <cell r="C255">
            <v>22030000</v>
          </cell>
        </row>
        <row r="256">
          <cell r="B256" t="str">
            <v>Motor Cycle Advances</v>
          </cell>
          <cell r="C256">
            <v>22030101</v>
          </cell>
        </row>
        <row r="257">
          <cell r="B257" t="str">
            <v>Bicycle Advances</v>
          </cell>
          <cell r="C257">
            <v>22030102</v>
          </cell>
        </row>
        <row r="258">
          <cell r="B258" t="str">
            <v>Refurbishing advances</v>
          </cell>
          <cell r="C258">
            <v>22030103</v>
          </cell>
        </row>
        <row r="259">
          <cell r="B259" t="str">
            <v>Correspondence Advance</v>
          </cell>
          <cell r="C259">
            <v>22030104</v>
          </cell>
        </row>
        <row r="260">
          <cell r="B260" t="str">
            <v>Spectacle Advances</v>
          </cell>
          <cell r="C260">
            <v>22030105</v>
          </cell>
        </row>
        <row r="261">
          <cell r="B261" t="str">
            <v>Motor Vehicle Advance</v>
          </cell>
          <cell r="C261">
            <v>22030106</v>
          </cell>
        </row>
        <row r="262">
          <cell r="B262" t="str">
            <v xml:space="preserve">Furnishing Advances </v>
          </cell>
          <cell r="C262">
            <v>22030107</v>
          </cell>
        </row>
        <row r="263">
          <cell r="B263" t="str">
            <v>Housing Loans</v>
          </cell>
          <cell r="C263">
            <v>22030108</v>
          </cell>
        </row>
        <row r="264">
          <cell r="B264" t="str">
            <v>Motor Vehicle Advance</v>
          </cell>
          <cell r="C264">
            <v>22030106</v>
          </cell>
        </row>
        <row r="265">
          <cell r="B265" t="str">
            <v xml:space="preserve">Furnishing Advances </v>
          </cell>
          <cell r="C265">
            <v>22030107</v>
          </cell>
        </row>
        <row r="266">
          <cell r="B266" t="str">
            <v>Housing Loans</v>
          </cell>
          <cell r="C266">
            <v>22030108</v>
          </cell>
        </row>
        <row r="268">
          <cell r="B268" t="str">
            <v>Local Grants &amp; Contribution General</v>
          </cell>
          <cell r="C268">
            <v>22040100</v>
          </cell>
        </row>
        <row r="269">
          <cell r="B269" t="str">
            <v>Grant To State Governments - Current</v>
          </cell>
          <cell r="C269">
            <v>22040101</v>
          </cell>
        </row>
        <row r="270">
          <cell r="B270" t="str">
            <v>Grant To State Governments - Capital</v>
          </cell>
          <cell r="C270">
            <v>22040102</v>
          </cell>
        </row>
        <row r="271">
          <cell r="B271" t="str">
            <v>Grant To Local Governments - Current</v>
          </cell>
          <cell r="C271">
            <v>22040103</v>
          </cell>
        </row>
        <row r="272">
          <cell r="B272" t="str">
            <v>Grant To Local Governments - Capital</v>
          </cell>
          <cell r="C272">
            <v>22040104</v>
          </cell>
        </row>
        <row r="273">
          <cell r="B273" t="str">
            <v>Grant To Government Owned Companies - Current</v>
          </cell>
          <cell r="C273">
            <v>22040105</v>
          </cell>
        </row>
        <row r="274">
          <cell r="B274" t="str">
            <v>Grant To Government Owned Companies - Capital</v>
          </cell>
          <cell r="C274">
            <v>22040106</v>
          </cell>
        </row>
        <row r="275">
          <cell r="B275" t="str">
            <v>Grant To Private Companies - Current</v>
          </cell>
          <cell r="C275">
            <v>22040107</v>
          </cell>
        </row>
        <row r="276">
          <cell r="B276" t="str">
            <v>Grant To Private Companies - Capital</v>
          </cell>
          <cell r="C276">
            <v>22040108</v>
          </cell>
        </row>
        <row r="277">
          <cell r="B277" t="str">
            <v>Grant To Communities/NGOs</v>
          </cell>
          <cell r="C277">
            <v>22040109</v>
          </cell>
        </row>
        <row r="278">
          <cell r="B278" t="str">
            <v>Recurrent Grants to Govt Owned Companies</v>
          </cell>
          <cell r="C278">
            <v>22040110</v>
          </cell>
        </row>
        <row r="279">
          <cell r="B279" t="str">
            <v>Recurrent Grants to NYSC</v>
          </cell>
          <cell r="C279">
            <v>22040111</v>
          </cell>
        </row>
        <row r="280">
          <cell r="B280" t="str">
            <v>Recurrent Grants to Nigerian Labour Congress</v>
          </cell>
          <cell r="C280">
            <v>22040112</v>
          </cell>
        </row>
        <row r="281">
          <cell r="B281" t="str">
            <v>Recurrent Grants to ABU Zaria</v>
          </cell>
          <cell r="C281">
            <v>22040113</v>
          </cell>
        </row>
        <row r="282">
          <cell r="B282" t="str">
            <v>Recurrent Grants to Other Org. &amp; Agencie</v>
          </cell>
          <cell r="C282">
            <v>22040114</v>
          </cell>
        </row>
        <row r="283">
          <cell r="B283" t="str">
            <v>LG Shares of State Internally Generated Revenue</v>
          </cell>
          <cell r="C283">
            <v>22040115</v>
          </cell>
        </row>
        <row r="284">
          <cell r="B284" t="str">
            <v>Govt 10% to Staff pension Scheme</v>
          </cell>
          <cell r="C284">
            <v>22040116</v>
          </cell>
        </row>
        <row r="285">
          <cell r="B285" t="str">
            <v>Overhead Cost Payment to Parastatals &amp; Agencies</v>
          </cell>
          <cell r="C285">
            <v>22040117</v>
          </cell>
        </row>
        <row r="286">
          <cell r="B286" t="str">
            <v>Government Contribution to LG Staff Pension</v>
          </cell>
          <cell r="C286">
            <v>22040118</v>
          </cell>
        </row>
        <row r="287">
          <cell r="B287" t="str">
            <v>Recurrent Counterpart Contribution by Government</v>
          </cell>
          <cell r="C287">
            <v>22040119</v>
          </cell>
        </row>
        <row r="289">
          <cell r="B289" t="str">
            <v>Foreign Grants &amp; Contribution General</v>
          </cell>
          <cell r="C289">
            <v>22040200</v>
          </cell>
        </row>
        <row r="290">
          <cell r="B290" t="str">
            <v>Grant To Foreign Governments</v>
          </cell>
          <cell r="C290">
            <v>22040201</v>
          </cell>
        </row>
        <row r="291">
          <cell r="B291" t="str">
            <v>Grant To Foreign International Organizations</v>
          </cell>
          <cell r="C291">
            <v>22040202</v>
          </cell>
        </row>
        <row r="293">
          <cell r="B293" t="str">
            <v>Subsidy to Gov't Owned Companies</v>
          </cell>
          <cell r="C293">
            <v>22050100</v>
          </cell>
        </row>
        <row r="294">
          <cell r="B294" t="str">
            <v>Subsidy To Government Owned Companies</v>
          </cell>
          <cell r="C294">
            <v>22050101</v>
          </cell>
        </row>
        <row r="295">
          <cell r="B295" t="str">
            <v>Meal Subsidy to Government Schools</v>
          </cell>
          <cell r="C295">
            <v>22050102</v>
          </cell>
        </row>
        <row r="297">
          <cell r="B297" t="str">
            <v>Subsidy to Private Companies</v>
          </cell>
          <cell r="C297">
            <v>22050200</v>
          </cell>
        </row>
        <row r="298">
          <cell r="B298" t="str">
            <v>Subsidy To Private Companies</v>
          </cell>
          <cell r="C298">
            <v>22050201</v>
          </cell>
        </row>
        <row r="300">
          <cell r="B300" t="str">
            <v>Foreign Loans Repayment</v>
          </cell>
          <cell r="C300">
            <v>22060100</v>
          </cell>
        </row>
        <row r="301">
          <cell r="B301" t="str">
            <v>Foreign Loans and Interest Repayment</v>
          </cell>
          <cell r="C301">
            <v>22060101</v>
          </cell>
        </row>
        <row r="303">
          <cell r="B303" t="str">
            <v>Domestic Loans Repayment</v>
          </cell>
          <cell r="C303">
            <v>22060200</v>
          </cell>
        </row>
        <row r="304">
          <cell r="B304" t="str">
            <v>Domestic Loans and Interest Repayment</v>
          </cell>
          <cell r="C304">
            <v>220602</v>
          </cell>
        </row>
        <row r="305">
          <cell r="B305" t="str">
            <v>Internal public Debt- Principal Repayment</v>
          </cell>
          <cell r="C305">
            <v>22060201</v>
          </cell>
        </row>
        <row r="306">
          <cell r="B306" t="str">
            <v>Refunds (Tax,Others)</v>
          </cell>
          <cell r="C306">
            <v>22060202</v>
          </cell>
        </row>
        <row r="307">
          <cell r="B307" t="str">
            <v>Settlement of Outstanding Recurrent Liabilities</v>
          </cell>
          <cell r="C307">
            <v>22060203</v>
          </cell>
        </row>
        <row r="309">
          <cell r="B309" t="str">
            <v>TRANSFER TO OTHER FUNDS</v>
          </cell>
          <cell r="C309" t="str">
            <v>22070000</v>
          </cell>
        </row>
        <row r="310">
          <cell r="B310" t="str">
            <v>Transfer to CDF</v>
          </cell>
          <cell r="C310" t="str">
            <v>22070001</v>
          </cell>
        </row>
        <row r="311">
          <cell r="B311" t="str">
            <v>Transfer to Contingency Fund</v>
          </cell>
          <cell r="C311">
            <v>22070002</v>
          </cell>
        </row>
        <row r="312">
          <cell r="B312" t="str">
            <v>Transfer to Sinking Fund Investment</v>
          </cell>
          <cell r="C312">
            <v>22070003</v>
          </cell>
        </row>
        <row r="313">
          <cell r="B313" t="str">
            <v>Service Wide Vote</v>
          </cell>
          <cell r="C313">
            <v>22070004</v>
          </cell>
        </row>
        <row r="314">
          <cell r="B314" t="str">
            <v>Transfer to welfare loans &amp; Advances Fund</v>
          </cell>
          <cell r="C314">
            <v>22070005</v>
          </cell>
        </row>
        <row r="315">
          <cell r="B315" t="str">
            <v>Grant To Local Governments - Capital</v>
          </cell>
          <cell r="C315">
            <v>22040104</v>
          </cell>
        </row>
        <row r="316">
          <cell r="B316" t="str">
            <v>Grant To Government Owned Companies - Current</v>
          </cell>
          <cell r="C316">
            <v>22040105</v>
          </cell>
        </row>
        <row r="317">
          <cell r="B317" t="str">
            <v>Grant To Government Owned Companies - Capital</v>
          </cell>
          <cell r="C317">
            <v>22040106</v>
          </cell>
        </row>
        <row r="318">
          <cell r="B318" t="str">
            <v>Grant To Private Companies - Current</v>
          </cell>
          <cell r="C318">
            <v>22040107</v>
          </cell>
        </row>
        <row r="319">
          <cell r="B319" t="str">
            <v>Grant To Private Companies - Capital</v>
          </cell>
          <cell r="C319">
            <v>22040108</v>
          </cell>
        </row>
        <row r="320">
          <cell r="B320" t="str">
            <v>Grant To Communities/NGOs</v>
          </cell>
          <cell r="C320">
            <v>22040109</v>
          </cell>
        </row>
        <row r="321">
          <cell r="B321" t="str">
            <v>Recurrent Grants to Govt Owned Companies</v>
          </cell>
          <cell r="C321">
            <v>22040110</v>
          </cell>
        </row>
        <row r="322">
          <cell r="B322" t="str">
            <v>Recurrent Grants to NYSC</v>
          </cell>
          <cell r="C322">
            <v>22040111</v>
          </cell>
        </row>
        <row r="323">
          <cell r="B323" t="str">
            <v>Recurrent Grants to Nigerian Labour Congress</v>
          </cell>
          <cell r="C323">
            <v>22040112</v>
          </cell>
        </row>
        <row r="324">
          <cell r="B324" t="str">
            <v>Recurrent Grants to ABU Zaria</v>
          </cell>
          <cell r="C324">
            <v>22040113</v>
          </cell>
        </row>
        <row r="325">
          <cell r="B325" t="str">
            <v>Recurrent Grants to Other Org. &amp; Agencies</v>
          </cell>
          <cell r="C325">
            <v>22040114</v>
          </cell>
        </row>
        <row r="326">
          <cell r="B326" t="str">
            <v>LG Shares of State Internally Generated Revenue</v>
          </cell>
          <cell r="C326">
            <v>22040115</v>
          </cell>
        </row>
        <row r="327">
          <cell r="B327" t="str">
            <v>Gov't 10% to Staff pension Scheme</v>
          </cell>
          <cell r="C327">
            <v>22040116</v>
          </cell>
        </row>
        <row r="328">
          <cell r="B328" t="str">
            <v>Overhead Cost Payment to Parastatals &amp; Agencies</v>
          </cell>
          <cell r="C328">
            <v>22040117</v>
          </cell>
        </row>
        <row r="329">
          <cell r="B329" t="str">
            <v>Government Contribution to LG Staff Pension</v>
          </cell>
          <cell r="C329">
            <v>22040118</v>
          </cell>
        </row>
        <row r="330">
          <cell r="B330" t="str">
            <v>Recurrent Counterpart Contribution by Government</v>
          </cell>
          <cell r="C330">
            <v>22040119</v>
          </cell>
        </row>
        <row r="331">
          <cell r="B331" t="str">
            <v>Contribution to Traditional Councils ( Emirates &amp; Chiefdoms)</v>
          </cell>
          <cell r="C331">
            <v>22040120</v>
          </cell>
        </row>
        <row r="332">
          <cell r="B332" t="str">
            <v>Grant to Foreign Governments</v>
          </cell>
          <cell r="C332">
            <v>22040201</v>
          </cell>
        </row>
        <row r="333">
          <cell r="B333" t="str">
            <v>Grant to Foreign International Organizations</v>
          </cell>
          <cell r="C333">
            <v>22040202</v>
          </cell>
        </row>
        <row r="334">
          <cell r="B334" t="str">
            <v>Subsidy to Government Owned Companies</v>
          </cell>
          <cell r="C334">
            <v>22050101</v>
          </cell>
        </row>
        <row r="335">
          <cell r="B335" t="str">
            <v>Meal Subsidy to Government Schools</v>
          </cell>
          <cell r="C335">
            <v>22050102</v>
          </cell>
        </row>
        <row r="336">
          <cell r="B336" t="str">
            <v>Subsidy to Private Companies</v>
          </cell>
          <cell r="C336">
            <v>22050201</v>
          </cell>
        </row>
        <row r="337">
          <cell r="B337" t="str">
            <v>External Debts Repayments- Principal</v>
          </cell>
          <cell r="C337">
            <v>22060101</v>
          </cell>
        </row>
        <row r="338">
          <cell r="B338" t="str">
            <v>External Debts Repayments- Interests</v>
          </cell>
          <cell r="C338">
            <v>22060102</v>
          </cell>
        </row>
        <row r="339">
          <cell r="B339" t="str">
            <v>Domestic Loans and Interest Repayment</v>
          </cell>
          <cell r="C339">
            <v>22060201</v>
          </cell>
        </row>
        <row r="340">
          <cell r="B340" t="str">
            <v>Internal public Debt- Principal Repayment</v>
          </cell>
          <cell r="C340">
            <v>22060202</v>
          </cell>
        </row>
        <row r="341">
          <cell r="B341" t="str">
            <v>Refunds (Tax  Others)</v>
          </cell>
          <cell r="C341">
            <v>22060203</v>
          </cell>
        </row>
        <row r="342">
          <cell r="B342" t="str">
            <v>Settlement of Outstanding Recurrent Liabilities</v>
          </cell>
          <cell r="C342">
            <v>22060204</v>
          </cell>
        </row>
        <row r="343">
          <cell r="B343" t="str">
            <v>Transfer to CDF</v>
          </cell>
          <cell r="C343">
            <v>22070001</v>
          </cell>
        </row>
        <row r="344">
          <cell r="B344" t="str">
            <v>Transfer to Contingency Fund</v>
          </cell>
          <cell r="C344">
            <v>22070002</v>
          </cell>
        </row>
        <row r="345">
          <cell r="B345" t="str">
            <v>Transfer to Sinking Fund Investment</v>
          </cell>
          <cell r="C345">
            <v>22070003</v>
          </cell>
        </row>
        <row r="346">
          <cell r="B346" t="str">
            <v>Service Wide Vote</v>
          </cell>
          <cell r="C346">
            <v>22070004</v>
          </cell>
        </row>
        <row r="347">
          <cell r="B347" t="str">
            <v>Transfer to Welfare Loans &amp; Advances(WL&amp;A)Fund</v>
          </cell>
          <cell r="C347">
            <v>22070005</v>
          </cell>
        </row>
        <row r="348">
          <cell r="B348" t="str">
            <v>With-Holding Taxes due to FIRS</v>
          </cell>
          <cell r="C348">
            <v>22080001</v>
          </cell>
        </row>
        <row r="349">
          <cell r="B349" t="str">
            <v>VAT Due to FIRS</v>
          </cell>
          <cell r="C349">
            <v>22080002</v>
          </cell>
        </row>
        <row r="350">
          <cell r="B350" t="str">
            <v>Union Deductions</v>
          </cell>
          <cell r="C350">
            <v>22080003</v>
          </cell>
        </row>
        <row r="351">
          <cell r="B351" t="str">
            <v>Loans Deduction from Salary</v>
          </cell>
          <cell r="C351">
            <v>22080004</v>
          </cell>
        </row>
        <row r="352">
          <cell r="B352" t="str">
            <v>Montrhly Net Pay Control Account</v>
          </cell>
          <cell r="C352">
            <v>22080005</v>
          </cell>
        </row>
        <row r="353">
          <cell r="B353" t="str">
            <v>Statutory Allocation To Local Governments</v>
          </cell>
          <cell r="C353">
            <v>22080006</v>
          </cell>
        </row>
        <row r="354">
          <cell r="B354" t="str">
            <v>Revenue to Judiciary from Federal Government</v>
          </cell>
          <cell r="C354">
            <v>22080007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ry_data_Sheet"/>
      <sheetName val="SIP Activity Sheet"/>
      <sheetName val="Chart_of_Accounts"/>
      <sheetName val="Costing Sheet"/>
      <sheetName val="Multiyear Costed Activity Sheet"/>
      <sheetName val="Multi-Year  Budget Recurrent"/>
      <sheetName val="Multi-Year  Budget Capital"/>
      <sheetName val="Budget Information Database"/>
    </sheetNames>
    <sheetDataSet>
      <sheetData sheetId="0"/>
      <sheetData sheetId="1"/>
      <sheetData sheetId="2">
        <row r="2">
          <cell r="B2" t="str">
            <v xml:space="preserve">RECURRENT EXPENDITURES </v>
          </cell>
          <cell r="C2" t="str">
            <v>CODE</v>
          </cell>
        </row>
        <row r="3">
          <cell r="B3" t="str">
            <v>Personnel Costs</v>
          </cell>
        </row>
        <row r="4">
          <cell r="B4" t="str">
            <v>PERSONNEL COST - GENERAL</v>
          </cell>
          <cell r="C4">
            <v>21000000</v>
          </cell>
        </row>
        <row r="5">
          <cell r="B5" t="str">
            <v>Salaries and Wages - General</v>
          </cell>
          <cell r="C5">
            <v>21010100</v>
          </cell>
        </row>
        <row r="6">
          <cell r="B6" t="str">
            <v>Basic Salary</v>
          </cell>
          <cell r="C6">
            <v>21010101</v>
          </cell>
        </row>
        <row r="7">
          <cell r="B7" t="str">
            <v>Overtime Payment</v>
          </cell>
          <cell r="C7">
            <v>21010102</v>
          </cell>
        </row>
        <row r="8">
          <cell r="B8" t="str">
            <v>Consolidated Revenue Fund Charges - Statutory Office Holder's Salaries and Allowances</v>
          </cell>
          <cell r="C8">
            <v>21010103</v>
          </cell>
        </row>
        <row r="9">
          <cell r="B9" t="str">
            <v>Basic Wages</v>
          </cell>
          <cell r="C9">
            <v>21010104</v>
          </cell>
        </row>
        <row r="10">
          <cell r="B10" t="str">
            <v xml:space="preserve"> </v>
          </cell>
        </row>
        <row r="11">
          <cell r="B11" t="str">
            <v xml:space="preserve"> Allowances - General</v>
          </cell>
          <cell r="C11">
            <v>21020100</v>
          </cell>
        </row>
        <row r="12">
          <cell r="B12" t="str">
            <v>Housing/Rent Allowance</v>
          </cell>
          <cell r="C12">
            <v>21020101</v>
          </cell>
        </row>
        <row r="13">
          <cell r="B13" t="str">
            <v>Transport Allowance</v>
          </cell>
          <cell r="C13">
            <v>21020102</v>
          </cell>
        </row>
        <row r="14">
          <cell r="B14" t="str">
            <v>Meal Subsidy</v>
          </cell>
          <cell r="C14">
            <v>21020103</v>
          </cell>
        </row>
        <row r="15">
          <cell r="B15" t="str">
            <v>Utility Allowance</v>
          </cell>
          <cell r="C15">
            <v>21020104</v>
          </cell>
        </row>
        <row r="16">
          <cell r="B16" t="str">
            <v>Entertainment Allowance</v>
          </cell>
          <cell r="C16">
            <v>21020105</v>
          </cell>
        </row>
        <row r="17">
          <cell r="B17" t="str">
            <v>Leave Allowance</v>
          </cell>
          <cell r="C17">
            <v>21020106</v>
          </cell>
        </row>
        <row r="18">
          <cell r="B18" t="str">
            <v>Domestic Staff Allowance</v>
          </cell>
          <cell r="C18">
            <v>21020107</v>
          </cell>
        </row>
        <row r="19">
          <cell r="B19" t="str">
            <v>Responsibility Allowance</v>
          </cell>
          <cell r="C19">
            <v>21020108</v>
          </cell>
        </row>
        <row r="20">
          <cell r="B20" t="str">
            <v>Furniture Allowance</v>
          </cell>
          <cell r="C20">
            <v>21020109</v>
          </cell>
        </row>
        <row r="21">
          <cell r="B21" t="str">
            <v>Shift Allowance</v>
          </cell>
          <cell r="C21">
            <v>21020110</v>
          </cell>
        </row>
        <row r="22">
          <cell r="B22" t="str">
            <v>Motor Vehicle Maint &amp; Fuelling Allowance</v>
          </cell>
          <cell r="C22">
            <v>21020111</v>
          </cell>
        </row>
        <row r="23">
          <cell r="B23" t="str">
            <v>Personal Assistant Allowance</v>
          </cell>
          <cell r="C23">
            <v>21020112</v>
          </cell>
        </row>
        <row r="24">
          <cell r="B24" t="str">
            <v>Acting Allowance</v>
          </cell>
          <cell r="C24">
            <v>21020113</v>
          </cell>
        </row>
        <row r="25">
          <cell r="B25" t="str">
            <v>Administrative Allowance</v>
          </cell>
          <cell r="C25">
            <v>21020114</v>
          </cell>
        </row>
        <row r="26">
          <cell r="B26" t="str">
            <v>Annual Allowance (Members)</v>
          </cell>
          <cell r="C26">
            <v>21020115</v>
          </cell>
        </row>
        <row r="27">
          <cell r="B27" t="str">
            <v>Board Members Allowance</v>
          </cell>
          <cell r="C27">
            <v>21020116</v>
          </cell>
        </row>
        <row r="28">
          <cell r="B28" t="str">
            <v>Incentive Allowance ( Budget etc)</v>
          </cell>
          <cell r="C28">
            <v>21020117</v>
          </cell>
        </row>
        <row r="29">
          <cell r="B29" t="str">
            <v>Call Duties Allowance</v>
          </cell>
          <cell r="C29">
            <v>21020118</v>
          </cell>
        </row>
        <row r="30">
          <cell r="B30" t="str">
            <v>Clinical Allowance</v>
          </cell>
          <cell r="C30">
            <v>21020119</v>
          </cell>
        </row>
        <row r="31">
          <cell r="B31" t="str">
            <v>Cold/Tea Allowance</v>
          </cell>
          <cell r="C31">
            <v>21020120</v>
          </cell>
        </row>
        <row r="32">
          <cell r="B32" t="str">
            <v>Constituency Allowance</v>
          </cell>
          <cell r="C32">
            <v>21020121</v>
          </cell>
        </row>
        <row r="33">
          <cell r="B33" t="str">
            <v>Exam Supervision Allowance</v>
          </cell>
          <cell r="C33">
            <v>21020122</v>
          </cell>
        </row>
        <row r="34">
          <cell r="B34" t="str">
            <v>Field/Trip Allowance</v>
          </cell>
          <cell r="C34">
            <v>21020123</v>
          </cell>
        </row>
        <row r="35">
          <cell r="B35" t="str">
            <v>Hazard Allowance</v>
          </cell>
          <cell r="C35">
            <v>21020124</v>
          </cell>
        </row>
        <row r="36">
          <cell r="B36" t="str">
            <v>Inducement Allowance</v>
          </cell>
          <cell r="C36">
            <v>21020125</v>
          </cell>
        </row>
        <row r="37">
          <cell r="B37" t="str">
            <v>Journal Allowance (Newspapers)</v>
          </cell>
          <cell r="C37">
            <v>21020126</v>
          </cell>
        </row>
        <row r="38">
          <cell r="B38" t="str">
            <v>Learned Society Allowance</v>
          </cell>
          <cell r="C38">
            <v>21020127</v>
          </cell>
        </row>
        <row r="39">
          <cell r="B39" t="str">
            <v>Local Society Allowance</v>
          </cell>
          <cell r="C39">
            <v>21020128</v>
          </cell>
        </row>
        <row r="40">
          <cell r="B40" t="str">
            <v>Maintenance of Quarters Allowance</v>
          </cell>
          <cell r="C40">
            <v>21020129</v>
          </cell>
        </row>
        <row r="41">
          <cell r="B41" t="str">
            <v>Medical Allowance</v>
          </cell>
          <cell r="C41">
            <v>21020130</v>
          </cell>
        </row>
        <row r="42">
          <cell r="B42" t="str">
            <v>Performance Bonus</v>
          </cell>
          <cell r="C42">
            <v>21020131</v>
          </cell>
        </row>
        <row r="43">
          <cell r="B43" t="str">
            <v>Professional Duty Allowance</v>
          </cell>
          <cell r="C43">
            <v>21020132</v>
          </cell>
        </row>
        <row r="44">
          <cell r="B44" t="str">
            <v>Recess Allowance (Members)</v>
          </cell>
          <cell r="C44">
            <v>21020133</v>
          </cell>
        </row>
        <row r="45">
          <cell r="B45" t="str">
            <v>Research/Academic Allowance</v>
          </cell>
          <cell r="C45">
            <v>21020134</v>
          </cell>
        </row>
        <row r="46">
          <cell r="B46" t="str">
            <v>Robe &amp; Outfit Allowances</v>
          </cell>
          <cell r="C46">
            <v>21020135</v>
          </cell>
        </row>
        <row r="47">
          <cell r="B47" t="str">
            <v>Rural Posting Allowance</v>
          </cell>
          <cell r="C47">
            <v>21020136</v>
          </cell>
        </row>
        <row r="48">
          <cell r="B48" t="str">
            <v>Science Teachers Allowance</v>
          </cell>
          <cell r="C48">
            <v>21020137</v>
          </cell>
        </row>
        <row r="49">
          <cell r="B49" t="str">
            <v>Teaching Allowance</v>
          </cell>
          <cell r="C49">
            <v>21020138</v>
          </cell>
        </row>
        <row r="50">
          <cell r="B50" t="str">
            <v>Weigh-in Allowance</v>
          </cell>
          <cell r="C50">
            <v>21020139</v>
          </cell>
        </row>
        <row r="51">
          <cell r="B51" t="str">
            <v>ADC/Orderlies Allowance</v>
          </cell>
          <cell r="C51">
            <v>21020140</v>
          </cell>
        </row>
        <row r="52">
          <cell r="B52" t="str">
            <v>Overtime Allowance</v>
          </cell>
          <cell r="C52">
            <v>21020141</v>
          </cell>
        </row>
        <row r="53">
          <cell r="B53" t="str">
            <v>TP/SIWES Allowance</v>
          </cell>
          <cell r="C53">
            <v>21020142</v>
          </cell>
        </row>
        <row r="54">
          <cell r="B54" t="str">
            <v>TSS Allowance (Qualified Teachers)</v>
          </cell>
          <cell r="C54">
            <v>21020143</v>
          </cell>
        </row>
        <row r="55">
          <cell r="B55" t="str">
            <v>TSS Allowance (Non Qualified Teachers)</v>
          </cell>
          <cell r="C55">
            <v>21020144</v>
          </cell>
        </row>
        <row r="56">
          <cell r="B56" t="str">
            <v>Legislative Allowance</v>
          </cell>
          <cell r="C56">
            <v>21020145</v>
          </cell>
        </row>
        <row r="57">
          <cell r="B57" t="str">
            <v>Chief Executive Allowance</v>
          </cell>
          <cell r="C57">
            <v>21020146</v>
          </cell>
        </row>
        <row r="58">
          <cell r="B58" t="str">
            <v>Legislative Aides Allowance</v>
          </cell>
          <cell r="C58">
            <v>21020147</v>
          </cell>
        </row>
        <row r="59">
          <cell r="B59" t="str">
            <v>Specialist Allowance</v>
          </cell>
          <cell r="C59">
            <v>21020148</v>
          </cell>
        </row>
        <row r="60">
          <cell r="B60" t="str">
            <v>Relief Allowance</v>
          </cell>
          <cell r="C60">
            <v>21020149</v>
          </cell>
        </row>
        <row r="61">
          <cell r="B61" t="str">
            <v>5% Teacher's Allowance</v>
          </cell>
          <cell r="C61">
            <v>21020150</v>
          </cell>
        </row>
        <row r="62">
          <cell r="B62" t="str">
            <v>Provisional Sum for Recruitment/Appointment</v>
          </cell>
          <cell r="C62">
            <v>21020151</v>
          </cell>
        </row>
        <row r="63">
          <cell r="B63" t="str">
            <v>Security Allowance</v>
          </cell>
          <cell r="C63">
            <v>21020152</v>
          </cell>
        </row>
        <row r="65">
          <cell r="B65" t="str">
            <v>Social Contribution - General</v>
          </cell>
          <cell r="C65">
            <v>21020200</v>
          </cell>
        </row>
        <row r="66">
          <cell r="B66" t="str">
            <v>NHIS Contribution</v>
          </cell>
          <cell r="C66">
            <v>21020201</v>
          </cell>
        </row>
        <row r="67">
          <cell r="B67" t="str">
            <v>Contribution Pension</v>
          </cell>
          <cell r="C67">
            <v>21020202</v>
          </cell>
        </row>
        <row r="68">
          <cell r="B68" t="str">
            <v>Group Life Insurance</v>
          </cell>
          <cell r="C68">
            <v>21020203</v>
          </cell>
        </row>
        <row r="69">
          <cell r="B69" t="str">
            <v>Employer's Compensation Fund</v>
          </cell>
          <cell r="C69">
            <v>21020204</v>
          </cell>
        </row>
        <row r="70">
          <cell r="B70" t="str">
            <v>Housing Fund Contribution</v>
          </cell>
          <cell r="C70">
            <v>21020205</v>
          </cell>
        </row>
        <row r="72">
          <cell r="B72" t="str">
            <v>Social Benefits - General</v>
          </cell>
          <cell r="C72">
            <v>22010000</v>
          </cell>
        </row>
        <row r="73">
          <cell r="B73" t="str">
            <v>Gratuity</v>
          </cell>
          <cell r="C73">
            <v>22010101</v>
          </cell>
        </row>
        <row r="74">
          <cell r="B74" t="str">
            <v>Pension</v>
          </cell>
          <cell r="C74">
            <v>22010102</v>
          </cell>
        </row>
        <row r="75">
          <cell r="B75" t="str">
            <v>Death Benefit</v>
          </cell>
          <cell r="C75">
            <v>22010103</v>
          </cell>
        </row>
        <row r="76">
          <cell r="B76" t="str">
            <v>Govt 10% Contribution to Pension Scheme</v>
          </cell>
          <cell r="C76">
            <v>22010104</v>
          </cell>
        </row>
        <row r="77">
          <cell r="B77" t="str">
            <v>Other Pension Allowance Ex Gratia</v>
          </cell>
          <cell r="C77">
            <v>22010105</v>
          </cell>
        </row>
        <row r="78">
          <cell r="B78" t="str">
            <v>Contract Gratuities</v>
          </cell>
          <cell r="C78">
            <v>22010106</v>
          </cell>
        </row>
        <row r="79">
          <cell r="B79" t="str">
            <v>Lump Sum Compensation</v>
          </cell>
          <cell r="C79">
            <v>22010107</v>
          </cell>
        </row>
        <row r="80">
          <cell r="B80" t="str">
            <v>Severance Pay for Political office appointees</v>
          </cell>
          <cell r="C80">
            <v>22010108</v>
          </cell>
        </row>
        <row r="81">
          <cell r="B81" t="str">
            <v>Severance Gratuity</v>
          </cell>
          <cell r="C81">
            <v>22010109</v>
          </cell>
        </row>
        <row r="82">
          <cell r="B82" t="str">
            <v>Retirement/death Gratuity</v>
          </cell>
          <cell r="C82">
            <v>22010110</v>
          </cell>
        </row>
        <row r="83">
          <cell r="B83" t="str">
            <v>Severance Allowance</v>
          </cell>
          <cell r="C83">
            <v>22010111</v>
          </cell>
        </row>
        <row r="84">
          <cell r="B84" t="str">
            <v>Employer Social Contribution</v>
          </cell>
          <cell r="C84">
            <v>22010112</v>
          </cell>
        </row>
        <row r="85">
          <cell r="B85" t="str">
            <v>Contract Gratuities Payment</v>
          </cell>
          <cell r="C85">
            <v>22010113</v>
          </cell>
        </row>
        <row r="88">
          <cell r="B88" t="str">
            <v>OVERHEAD COST GENERAL</v>
          </cell>
          <cell r="C88">
            <v>22000000</v>
          </cell>
        </row>
        <row r="89">
          <cell r="B89" t="str">
            <v>Transport and Traveling General</v>
          </cell>
          <cell r="C89">
            <v>22020100</v>
          </cell>
        </row>
        <row r="90">
          <cell r="B90" t="str">
            <v>Local Travel and Transport - Training</v>
          </cell>
          <cell r="C90">
            <v>22020101</v>
          </cell>
        </row>
        <row r="91">
          <cell r="B91" t="str">
            <v>Local Travel and Transport - Others</v>
          </cell>
          <cell r="C91">
            <v>22020102</v>
          </cell>
        </row>
        <row r="92">
          <cell r="B92" t="str">
            <v>International Transport and Travels - Training</v>
          </cell>
          <cell r="C92">
            <v>22020103</v>
          </cell>
        </row>
        <row r="93">
          <cell r="B93" t="str">
            <v>International Transport and Travels - Others</v>
          </cell>
          <cell r="C93">
            <v>22020104</v>
          </cell>
        </row>
        <row r="94">
          <cell r="B94" t="str">
            <v>Duty tour Allowance-Civil Servant</v>
          </cell>
          <cell r="C94">
            <v>22020105</v>
          </cell>
        </row>
        <row r="95">
          <cell r="B95" t="str">
            <v>International Transport and Travel-Estacodes</v>
          </cell>
          <cell r="C95">
            <v>22020106</v>
          </cell>
        </row>
        <row r="96">
          <cell r="B96" t="str">
            <v>International Transport and Travel-Passage</v>
          </cell>
          <cell r="C96">
            <v>22020107</v>
          </cell>
        </row>
        <row r="97">
          <cell r="B97" t="str">
            <v>Local Transport and Travel-Civil Servants</v>
          </cell>
          <cell r="C97">
            <v>22020108</v>
          </cell>
        </row>
        <row r="98">
          <cell r="B98" t="str">
            <v>Local Transport and Travelling(Training)-Passage</v>
          </cell>
          <cell r="C98">
            <v>22020109</v>
          </cell>
        </row>
        <row r="99">
          <cell r="B99" t="str">
            <v>International Transport and Travelling(Training)-Passage</v>
          </cell>
          <cell r="C99">
            <v>22020110</v>
          </cell>
        </row>
        <row r="100">
          <cell r="B100" t="str">
            <v>International Training(Regular)</v>
          </cell>
          <cell r="C100">
            <v>22020111</v>
          </cell>
        </row>
        <row r="101">
          <cell r="B101" t="str">
            <v>International Training(Sem. Conf. and Workshop)</v>
          </cell>
          <cell r="C101">
            <v>22020112</v>
          </cell>
        </row>
        <row r="102">
          <cell r="B102" t="str">
            <v>Local Training(Regular)</v>
          </cell>
          <cell r="C102">
            <v>22020113</v>
          </cell>
        </row>
        <row r="103">
          <cell r="B103" t="str">
            <v>Local Training(Seminar,Conf. &amp; Workshop)</v>
          </cell>
          <cell r="C103">
            <v>22020114</v>
          </cell>
        </row>
        <row r="104">
          <cell r="B104" t="str">
            <v>Int'l &amp; travelling ( Muslim &amp; Christian )</v>
          </cell>
          <cell r="C104">
            <v>22020115</v>
          </cell>
        </row>
        <row r="107">
          <cell r="B107" t="str">
            <v>Utilities - General</v>
          </cell>
          <cell r="C107">
            <v>22020200</v>
          </cell>
        </row>
        <row r="108">
          <cell r="B108" t="str">
            <v>Electricity Charges</v>
          </cell>
          <cell r="C108">
            <v>22020201</v>
          </cell>
        </row>
        <row r="109">
          <cell r="B109" t="str">
            <v>Telephone Charges</v>
          </cell>
          <cell r="C109">
            <v>22020202</v>
          </cell>
        </row>
        <row r="110">
          <cell r="B110" t="str">
            <v>Internet Access Charges</v>
          </cell>
          <cell r="C110">
            <v>22020203</v>
          </cell>
        </row>
        <row r="111">
          <cell r="B111" t="str">
            <v>Satellite Broadcasting Access Charges</v>
          </cell>
          <cell r="C111">
            <v>22020204</v>
          </cell>
        </row>
        <row r="112">
          <cell r="B112" t="str">
            <v>Water Rates</v>
          </cell>
          <cell r="C112">
            <v>22020205</v>
          </cell>
        </row>
        <row r="113">
          <cell r="B113" t="str">
            <v>Sewerage Charges</v>
          </cell>
          <cell r="C113">
            <v>22020206</v>
          </cell>
        </row>
        <row r="114">
          <cell r="B114" t="str">
            <v>Leased Communication Lines(s)</v>
          </cell>
          <cell r="C114">
            <v>22020207</v>
          </cell>
        </row>
        <row r="115">
          <cell r="B115" t="str">
            <v>Software Charges/License Renewal</v>
          </cell>
          <cell r="C115">
            <v>22020208</v>
          </cell>
        </row>
        <row r="116">
          <cell r="B116" t="str">
            <v>Postages and Courier Services</v>
          </cell>
          <cell r="C116">
            <v>22020209</v>
          </cell>
        </row>
        <row r="118">
          <cell r="B118" t="str">
            <v>Materials and Supplies - General</v>
          </cell>
          <cell r="C118">
            <v>22020300</v>
          </cell>
        </row>
        <row r="119">
          <cell r="B119" t="str">
            <v>Office Stationeries/Computer Consumables</v>
          </cell>
          <cell r="C119">
            <v>22020301</v>
          </cell>
        </row>
        <row r="120">
          <cell r="B120" t="str">
            <v>Books</v>
          </cell>
          <cell r="C120">
            <v>22020302</v>
          </cell>
        </row>
        <row r="121">
          <cell r="B121" t="str">
            <v>Newspapers</v>
          </cell>
          <cell r="C121">
            <v>22020303</v>
          </cell>
        </row>
        <row r="122">
          <cell r="B122" t="str">
            <v>Magazines &amp; Periodicals</v>
          </cell>
          <cell r="C122">
            <v>22020304</v>
          </cell>
        </row>
        <row r="123">
          <cell r="B123" t="str">
            <v>Printing of Non Security Documents</v>
          </cell>
          <cell r="C123">
            <v>22020305</v>
          </cell>
        </row>
        <row r="124">
          <cell r="B124" t="str">
            <v>Printing of Security Documents</v>
          </cell>
          <cell r="C124">
            <v>22020306</v>
          </cell>
        </row>
        <row r="125">
          <cell r="B125" t="str">
            <v>Drugs &amp; Medical Supplies</v>
          </cell>
          <cell r="C125">
            <v>22020307</v>
          </cell>
        </row>
        <row r="126">
          <cell r="B126" t="str">
            <v>Field &amp; Camping Materials Supplies</v>
          </cell>
          <cell r="C126">
            <v>22020308</v>
          </cell>
        </row>
        <row r="127">
          <cell r="B127" t="str">
            <v>Uniforms &amp; Other Clothing</v>
          </cell>
          <cell r="C127">
            <v>22020309</v>
          </cell>
        </row>
        <row r="128">
          <cell r="B128" t="str">
            <v>Teaching aids/ Instruction Materials</v>
          </cell>
          <cell r="C128">
            <v>22020310</v>
          </cell>
        </row>
        <row r="129">
          <cell r="B129" t="str">
            <v>Food Stuff /Catering Materials Supplies</v>
          </cell>
          <cell r="C129">
            <v>22020311</v>
          </cell>
        </row>
        <row r="130">
          <cell r="B130" t="str">
            <v>Fire Fighting Materials</v>
          </cell>
          <cell r="C130">
            <v>22020312</v>
          </cell>
        </row>
        <row r="131">
          <cell r="B131" t="str">
            <v>Government Funds &amp; Store Losses</v>
          </cell>
          <cell r="C131">
            <v>22020313</v>
          </cell>
        </row>
        <row r="132">
          <cell r="B132" t="str">
            <v>Robe &amp; Outfit Allowance</v>
          </cell>
          <cell r="C132">
            <v>22020314</v>
          </cell>
        </row>
        <row r="133">
          <cell r="B133" t="str">
            <v>Computer Materials &amp; Supply</v>
          </cell>
          <cell r="C133">
            <v>22020315</v>
          </cell>
        </row>
        <row r="135">
          <cell r="B135" t="str">
            <v>Maintenance Services - General</v>
          </cell>
          <cell r="C135">
            <v>22020400</v>
          </cell>
        </row>
        <row r="136">
          <cell r="B136" t="str">
            <v>Maintenance of Motor Vehicle/Transport Equipment</v>
          </cell>
          <cell r="C136">
            <v>22020401</v>
          </cell>
        </row>
        <row r="137">
          <cell r="B137" t="str">
            <v>Maintenance of Office Furniture</v>
          </cell>
          <cell r="C137">
            <v>22020402</v>
          </cell>
        </row>
        <row r="138">
          <cell r="B138" t="str">
            <v>Maintenance of Office Building Residential Qtrs</v>
          </cell>
          <cell r="C138">
            <v>22020403</v>
          </cell>
        </row>
        <row r="139">
          <cell r="B139" t="str">
            <v>Maintenance of Office / IT Equipments</v>
          </cell>
          <cell r="C139">
            <v>22020404</v>
          </cell>
        </row>
        <row r="140">
          <cell r="B140" t="str">
            <v>Maintenance of Plants &amp; Generators</v>
          </cell>
          <cell r="C140">
            <v>22020405</v>
          </cell>
        </row>
        <row r="141">
          <cell r="B141" t="str">
            <v>Other Maintenance Services</v>
          </cell>
          <cell r="C141">
            <v>22020406</v>
          </cell>
        </row>
        <row r="142">
          <cell r="B142" t="str">
            <v>Maintenance of Aircrafts</v>
          </cell>
          <cell r="C142">
            <v>22020407</v>
          </cell>
        </row>
        <row r="143">
          <cell r="B143" t="str">
            <v>Maintenance of Sea Boats</v>
          </cell>
          <cell r="C143">
            <v>22020408</v>
          </cell>
        </row>
        <row r="144">
          <cell r="B144" t="str">
            <v>Maintenance of Railway Equipments</v>
          </cell>
          <cell r="C144">
            <v>22020409</v>
          </cell>
        </row>
        <row r="145">
          <cell r="B145" t="str">
            <v>Maintenance of Street Lightings</v>
          </cell>
          <cell r="C145">
            <v>22020410</v>
          </cell>
        </row>
        <row r="146">
          <cell r="B146" t="str">
            <v>Maintenance of Communication Equipments</v>
          </cell>
          <cell r="C146">
            <v>22020411</v>
          </cell>
        </row>
        <row r="147">
          <cell r="B147" t="str">
            <v>Maintenance of Markets/Public Places</v>
          </cell>
          <cell r="C147">
            <v>22020412</v>
          </cell>
        </row>
        <row r="148">
          <cell r="B148" t="str">
            <v>Minor Road Maintenance</v>
          </cell>
          <cell r="C148">
            <v>22020413</v>
          </cell>
        </row>
        <row r="149">
          <cell r="B149" t="str">
            <v>Maint. Of dumpsites &amp; Evacuation of cacases</v>
          </cell>
          <cell r="C149">
            <v>22020414</v>
          </cell>
        </row>
        <row r="150">
          <cell r="B150" t="str">
            <v>Maint. Of Computer &amp; ICT Equipment dumpsites &amp; Evacuation of cacases</v>
          </cell>
          <cell r="C150">
            <v>22020414</v>
          </cell>
        </row>
        <row r="151">
          <cell r="B151" t="str">
            <v>Upkeep of Govt. House/Cleaning Services</v>
          </cell>
          <cell r="C151">
            <v>22020415</v>
          </cell>
        </row>
        <row r="152">
          <cell r="B152" t="str">
            <v>Upkeep of Offices /Cleaning Services</v>
          </cell>
          <cell r="C152">
            <v>22020416</v>
          </cell>
        </row>
        <row r="153">
          <cell r="B153" t="str">
            <v>Maint. Of Science Laboratory</v>
          </cell>
          <cell r="C153">
            <v>22020417</v>
          </cell>
        </row>
        <row r="155">
          <cell r="B155" t="str">
            <v>Training - General</v>
          </cell>
          <cell r="C155">
            <v>22020500</v>
          </cell>
        </row>
        <row r="156">
          <cell r="B156" t="str">
            <v>Local Training</v>
          </cell>
          <cell r="C156">
            <v>22020501</v>
          </cell>
        </row>
        <row r="157">
          <cell r="B157" t="str">
            <v>International Training</v>
          </cell>
          <cell r="C157">
            <v>22020502</v>
          </cell>
        </row>
        <row r="158">
          <cell r="B158" t="str">
            <v>Local Training ( Regular)</v>
          </cell>
          <cell r="C158">
            <v>22020503</v>
          </cell>
        </row>
        <row r="159">
          <cell r="B159" t="str">
            <v>Local Training( Seminars, Conf. &amp; W/Shop</v>
          </cell>
          <cell r="C159">
            <v>22020504</v>
          </cell>
        </row>
        <row r="160">
          <cell r="B160" t="str">
            <v>Professional Development Others</v>
          </cell>
          <cell r="C160">
            <v>22020505</v>
          </cell>
        </row>
        <row r="161">
          <cell r="B161" t="str">
            <v>Practicing Licence Fee( Charges)</v>
          </cell>
          <cell r="C161">
            <v>22020506</v>
          </cell>
        </row>
        <row r="162">
          <cell r="B162" t="str">
            <v>Seminars/Workshops for Traditional Institutions</v>
          </cell>
          <cell r="C162">
            <v>22020507</v>
          </cell>
        </row>
        <row r="165">
          <cell r="B165" t="str">
            <v>Other Services - General</v>
          </cell>
          <cell r="C165">
            <v>22020600</v>
          </cell>
        </row>
        <row r="166">
          <cell r="B166" t="str">
            <v>Security Services</v>
          </cell>
          <cell r="C166">
            <v>22020601</v>
          </cell>
        </row>
        <row r="167">
          <cell r="B167" t="str">
            <v>Office Rent</v>
          </cell>
          <cell r="C167">
            <v>22020602</v>
          </cell>
        </row>
        <row r="168">
          <cell r="B168" t="str">
            <v>Residential Rent</v>
          </cell>
          <cell r="C168">
            <v>22020603</v>
          </cell>
        </row>
        <row r="169">
          <cell r="B169" t="str">
            <v>Security Vote (Including Operations)</v>
          </cell>
          <cell r="C169">
            <v>22020604</v>
          </cell>
        </row>
        <row r="170">
          <cell r="B170" t="str">
            <v>Cleaning &amp;Fumigation Services</v>
          </cell>
          <cell r="C170">
            <v>22020605</v>
          </cell>
        </row>
        <row r="171">
          <cell r="B171" t="str">
            <v>Security Vote (Preventive &amp; Supportive Measure)</v>
          </cell>
          <cell r="C171">
            <v>22020606</v>
          </cell>
        </row>
        <row r="172">
          <cell r="B172" t="str">
            <v>Overseas Medical Treatment &amp; Expenses</v>
          </cell>
          <cell r="C172">
            <v>22020607</v>
          </cell>
        </row>
        <row r="173">
          <cell r="B173" t="str">
            <v>ADC/Orderlies &amp; Other Escort Expenditure</v>
          </cell>
          <cell r="C173">
            <v>22020608</v>
          </cell>
        </row>
        <row r="174">
          <cell r="B174" t="str">
            <v>Overhead Cost payment to Hospitals</v>
          </cell>
          <cell r="C174">
            <v>22020609</v>
          </cell>
        </row>
        <row r="175">
          <cell r="B175" t="str">
            <v>HIV Intervention Fund</v>
          </cell>
          <cell r="C175">
            <v>22020610</v>
          </cell>
        </row>
        <row r="178">
          <cell r="B178" t="str">
            <v>Consulting and Professional Services General</v>
          </cell>
          <cell r="C178">
            <v>22020700</v>
          </cell>
        </row>
        <row r="179">
          <cell r="B179" t="str">
            <v>Financial Consulting</v>
          </cell>
          <cell r="C179">
            <v>22020701</v>
          </cell>
        </row>
        <row r="180">
          <cell r="B180" t="str">
            <v>Information Technology Consulting</v>
          </cell>
          <cell r="C180">
            <v>22020702</v>
          </cell>
        </row>
        <row r="181">
          <cell r="B181" t="str">
            <v>Legal Services</v>
          </cell>
          <cell r="C181">
            <v>22020703</v>
          </cell>
        </row>
        <row r="182">
          <cell r="B182" t="str">
            <v>Engineering Services</v>
          </cell>
          <cell r="C182">
            <v>22020704</v>
          </cell>
        </row>
        <row r="183">
          <cell r="B183" t="str">
            <v>Architectural Services</v>
          </cell>
          <cell r="C183">
            <v>22020705</v>
          </cell>
        </row>
        <row r="184">
          <cell r="B184" t="str">
            <v>Surveying Services</v>
          </cell>
          <cell r="C184">
            <v>22020706</v>
          </cell>
        </row>
        <row r="185">
          <cell r="B185" t="str">
            <v>Agricultural Consulting</v>
          </cell>
          <cell r="C185">
            <v>22020707</v>
          </cell>
        </row>
        <row r="186">
          <cell r="B186" t="str">
            <v>Medical Consulting</v>
          </cell>
          <cell r="C186">
            <v>22020708</v>
          </cell>
        </row>
        <row r="187">
          <cell r="B187" t="str">
            <v>Health Consultancy Services</v>
          </cell>
          <cell r="C187">
            <v>22020708</v>
          </cell>
        </row>
        <row r="188">
          <cell r="B188" t="str">
            <v>Audit Fees</v>
          </cell>
          <cell r="C188">
            <v>22020709</v>
          </cell>
        </row>
        <row r="189">
          <cell r="B189" t="str">
            <v>Economic &amp; fin. Consulting Services</v>
          </cell>
          <cell r="C189">
            <v>22020710</v>
          </cell>
        </row>
        <row r="190">
          <cell r="B190" t="str">
            <v>Capacity Building( Part- time Services Delivery)</v>
          </cell>
          <cell r="C190">
            <v>22020711</v>
          </cell>
        </row>
        <row r="191">
          <cell r="B191" t="str">
            <v>Design  Services</v>
          </cell>
          <cell r="C191">
            <v>22020712</v>
          </cell>
        </row>
        <row r="194">
          <cell r="B194" t="str">
            <v>Fuel and Lubricant General</v>
          </cell>
          <cell r="C194">
            <v>22020800</v>
          </cell>
        </row>
        <row r="195">
          <cell r="B195" t="str">
            <v>Motor Vehicle Fuel Cost</v>
          </cell>
          <cell r="C195">
            <v>22020801</v>
          </cell>
        </row>
        <row r="196">
          <cell r="B196" t="str">
            <v>Other Transport Equipment Fuel Cost</v>
          </cell>
          <cell r="C196">
            <v>22020802</v>
          </cell>
        </row>
        <row r="197">
          <cell r="B197" t="str">
            <v>Plant/Generator Fuel Cost</v>
          </cell>
          <cell r="C197">
            <v>22020803</v>
          </cell>
        </row>
        <row r="198">
          <cell r="B198" t="str">
            <v>Aircraft Fuel Cost</v>
          </cell>
          <cell r="C198">
            <v>22020804</v>
          </cell>
        </row>
        <row r="199">
          <cell r="B199" t="str">
            <v>Sea Boat Fuel Cost</v>
          </cell>
          <cell r="C199">
            <v>22020805</v>
          </cell>
        </row>
        <row r="200">
          <cell r="B200" t="str">
            <v>Cooking Gas/Fuel Cost</v>
          </cell>
          <cell r="C200">
            <v>22020806</v>
          </cell>
        </row>
        <row r="201">
          <cell r="B201" t="str">
            <v>Regional Water Plants Fuelling</v>
          </cell>
          <cell r="C201">
            <v>22020807</v>
          </cell>
        </row>
        <row r="204">
          <cell r="B204" t="str">
            <v>Financial Charges General</v>
          </cell>
          <cell r="C204">
            <v>22020900</v>
          </cell>
        </row>
        <row r="205">
          <cell r="B205" t="str">
            <v>Bank Charges (Other than Interest)</v>
          </cell>
          <cell r="C205">
            <v>22020901</v>
          </cell>
        </row>
        <row r="206">
          <cell r="B206" t="str">
            <v>Insurance Premium</v>
          </cell>
          <cell r="C206">
            <v>22020902</v>
          </cell>
        </row>
        <row r="207">
          <cell r="B207" t="str">
            <v>Loss on Foreign Exchange</v>
          </cell>
          <cell r="C207">
            <v>22020903</v>
          </cell>
        </row>
        <row r="208">
          <cell r="B208" t="str">
            <v>Other CRF Bank Charges</v>
          </cell>
          <cell r="C208">
            <v>22020904</v>
          </cell>
        </row>
        <row r="209">
          <cell r="B209" t="str">
            <v>National Health Insurance Scheme Contribution</v>
          </cell>
          <cell r="C209">
            <v>22020905</v>
          </cell>
        </row>
        <row r="210">
          <cell r="B210" t="str">
            <v>Cost of Revenue Collection</v>
          </cell>
          <cell r="C210">
            <v>22020906</v>
          </cell>
        </row>
        <row r="211">
          <cell r="B211" t="str">
            <v>Cost of Borrowing</v>
          </cell>
          <cell r="C211">
            <v>22020907</v>
          </cell>
        </row>
        <row r="212">
          <cell r="B212" t="str">
            <v xml:space="preserve">National Social Insurance Scheme </v>
          </cell>
          <cell r="C212">
            <v>22020908</v>
          </cell>
        </row>
        <row r="213">
          <cell r="B213" t="str">
            <v>Insurance  On Capital Assets</v>
          </cell>
          <cell r="C213">
            <v>22020909</v>
          </cell>
        </row>
        <row r="216">
          <cell r="B216" t="str">
            <v>Miscellaneous - General</v>
          </cell>
          <cell r="C216">
            <v>22021000</v>
          </cell>
        </row>
        <row r="217">
          <cell r="B217" t="str">
            <v>Refreshment &amp; Meals</v>
          </cell>
          <cell r="C217">
            <v>22021001</v>
          </cell>
        </row>
        <row r="218">
          <cell r="B218" t="str">
            <v>Honorarium &amp; Sitting Allowance</v>
          </cell>
          <cell r="C218">
            <v>22021002</v>
          </cell>
        </row>
        <row r="219">
          <cell r="B219" t="str">
            <v>Publicity &amp; Advertisements</v>
          </cell>
          <cell r="C219">
            <v>22021003</v>
          </cell>
        </row>
        <row r="220">
          <cell r="B220" t="str">
            <v>Medical Expenses</v>
          </cell>
          <cell r="C220">
            <v>22021004</v>
          </cell>
        </row>
        <row r="221">
          <cell r="B221" t="str">
            <v>Service School Fees Payment</v>
          </cell>
          <cell r="C221">
            <v>22021005</v>
          </cell>
        </row>
        <row r="222">
          <cell r="B222" t="str">
            <v>Postages &amp; Courier Services</v>
          </cell>
          <cell r="C222">
            <v>22021006</v>
          </cell>
        </row>
        <row r="223">
          <cell r="B223" t="str">
            <v>Welfare Packages</v>
          </cell>
          <cell r="C223">
            <v>22021007</v>
          </cell>
        </row>
        <row r="224">
          <cell r="B224" t="str">
            <v>Subscription to Professional Bodies</v>
          </cell>
          <cell r="C224">
            <v>22021008</v>
          </cell>
        </row>
        <row r="225">
          <cell r="B225" t="str">
            <v>Sporting Activities</v>
          </cell>
          <cell r="C225">
            <v>22021009</v>
          </cell>
        </row>
        <row r="226">
          <cell r="B226" t="str">
            <v>Direct Teaching &amp; Laboratory Cost</v>
          </cell>
          <cell r="C226">
            <v>22021010</v>
          </cell>
        </row>
        <row r="227">
          <cell r="B227" t="str">
            <v>Recruitment and Appointmen t (Service Wide)</v>
          </cell>
          <cell r="C227">
            <v>22021011</v>
          </cell>
        </row>
        <row r="228">
          <cell r="B228" t="str">
            <v>Dicipline and Appointment (Service Wide)</v>
          </cell>
          <cell r="C228">
            <v>22021012</v>
          </cell>
        </row>
        <row r="229">
          <cell r="B229" t="str">
            <v>Promotionf (Service Wide)</v>
          </cell>
          <cell r="C229">
            <v>22021013</v>
          </cell>
        </row>
        <row r="230">
          <cell r="B230" t="str">
            <v xml:space="preserve">Annual Budget Expenses and Administration </v>
          </cell>
          <cell r="C230">
            <v>22021014</v>
          </cell>
        </row>
        <row r="231">
          <cell r="B231" t="str">
            <v>Creche</v>
          </cell>
          <cell r="C231">
            <v>22021015</v>
          </cell>
        </row>
        <row r="232">
          <cell r="B232" t="str">
            <v>Servicom</v>
          </cell>
          <cell r="C232">
            <v>22021016</v>
          </cell>
        </row>
        <row r="233">
          <cell r="B233" t="str">
            <v>Anti-Corruption</v>
          </cell>
          <cell r="C233">
            <v>22021017</v>
          </cell>
        </row>
        <row r="234">
          <cell r="B234" t="str">
            <v>Gender</v>
          </cell>
          <cell r="C234">
            <v>22021018</v>
          </cell>
        </row>
        <row r="235">
          <cell r="B235" t="str">
            <v>Medical Expenses - International</v>
          </cell>
          <cell r="C235">
            <v>22021019</v>
          </cell>
        </row>
        <row r="236">
          <cell r="B236" t="str">
            <v>Foreign Scholarship Scheme</v>
          </cell>
          <cell r="C236">
            <v>22021020</v>
          </cell>
        </row>
        <row r="237">
          <cell r="B237" t="str">
            <v>Special Days/Celebrations</v>
          </cell>
          <cell r="C237">
            <v>22021021</v>
          </cell>
        </row>
        <row r="238">
          <cell r="B238" t="str">
            <v>Donations to Institutions &amp; Organisations</v>
          </cell>
          <cell r="C238">
            <v>22021022</v>
          </cell>
        </row>
        <row r="239">
          <cell r="B239" t="str">
            <v>Final Accounts and Budget Preparation Expenses</v>
          </cell>
          <cell r="C239">
            <v>22021023</v>
          </cell>
        </row>
        <row r="240">
          <cell r="B240" t="str">
            <v>Committees &amp; Commissions Expenses</v>
          </cell>
          <cell r="C240">
            <v>22021024</v>
          </cell>
        </row>
        <row r="241">
          <cell r="B241" t="str">
            <v>Compensations</v>
          </cell>
          <cell r="C241">
            <v>22021025</v>
          </cell>
        </row>
        <row r="242">
          <cell r="B242" t="str">
            <v>Entertainment &amp; Hospitality</v>
          </cell>
          <cell r="C242">
            <v>22021026</v>
          </cell>
        </row>
        <row r="243">
          <cell r="B243" t="str">
            <v>Traditional Gifts</v>
          </cell>
          <cell r="C243">
            <v>22021027</v>
          </cell>
        </row>
        <row r="244">
          <cell r="B244" t="str">
            <v>Settlement of Outstanding Recurrent liabilities</v>
          </cell>
          <cell r="C244">
            <v>22021028</v>
          </cell>
        </row>
        <row r="245">
          <cell r="B245" t="str">
            <v>Supplementary Support to NYSC</v>
          </cell>
          <cell r="C245">
            <v>22021029</v>
          </cell>
        </row>
        <row r="246">
          <cell r="B246" t="str">
            <v>Third Party Funds</v>
          </cell>
          <cell r="C246">
            <v>22021030</v>
          </cell>
        </row>
        <row r="247">
          <cell r="B247" t="str">
            <v>Student Allowance/Local Scholarship</v>
          </cell>
          <cell r="C247">
            <v>22021031</v>
          </cell>
        </row>
        <row r="248">
          <cell r="B248" t="str">
            <v>Industrial Attachment Supervision</v>
          </cell>
          <cell r="C248">
            <v>22021032</v>
          </cell>
        </row>
        <row r="249">
          <cell r="B249" t="str">
            <v>Technology Teacher Reserch &amp; Development</v>
          </cell>
          <cell r="C249">
            <v>22021033</v>
          </cell>
        </row>
        <row r="250">
          <cell r="B250" t="str">
            <v>Technology Reserch &amp; Development</v>
          </cell>
          <cell r="C250">
            <v>22021034</v>
          </cell>
        </row>
        <row r="251">
          <cell r="B251" t="str">
            <v>Local Techology Support</v>
          </cell>
          <cell r="C251">
            <v>22021035</v>
          </cell>
        </row>
        <row r="252">
          <cell r="B252" t="str">
            <v>Accreditation</v>
          </cell>
          <cell r="C252">
            <v>22021036</v>
          </cell>
        </row>
        <row r="255">
          <cell r="B255" t="str">
            <v>Loans and Advances General</v>
          </cell>
          <cell r="C255">
            <v>22030000</v>
          </cell>
        </row>
        <row r="256">
          <cell r="B256" t="str">
            <v>Motor Cycle Advances</v>
          </cell>
          <cell r="C256">
            <v>22030101</v>
          </cell>
        </row>
        <row r="257">
          <cell r="B257" t="str">
            <v>Bicycle Advances</v>
          </cell>
          <cell r="C257">
            <v>22030102</v>
          </cell>
        </row>
        <row r="258">
          <cell r="B258" t="str">
            <v>Refurbishing advances</v>
          </cell>
          <cell r="C258">
            <v>22030103</v>
          </cell>
        </row>
        <row r="259">
          <cell r="B259" t="str">
            <v>Correspondence Advance</v>
          </cell>
          <cell r="C259">
            <v>22030104</v>
          </cell>
        </row>
        <row r="260">
          <cell r="B260" t="str">
            <v>Spectacle Advances</v>
          </cell>
          <cell r="C260">
            <v>22030105</v>
          </cell>
        </row>
        <row r="261">
          <cell r="B261" t="str">
            <v>Motor Vehicle Advance</v>
          </cell>
          <cell r="C261">
            <v>22030106</v>
          </cell>
        </row>
        <row r="262">
          <cell r="B262" t="str">
            <v xml:space="preserve">Furnishing Advances </v>
          </cell>
          <cell r="C262">
            <v>22030107</v>
          </cell>
        </row>
        <row r="263">
          <cell r="B263" t="str">
            <v>Housing Loans</v>
          </cell>
          <cell r="C263">
            <v>22030108</v>
          </cell>
        </row>
        <row r="264">
          <cell r="B264" t="str">
            <v>Motor Vehicle Advance</v>
          </cell>
          <cell r="C264">
            <v>22030106</v>
          </cell>
        </row>
        <row r="265">
          <cell r="B265" t="str">
            <v xml:space="preserve">Furnishing Advances </v>
          </cell>
          <cell r="C265">
            <v>22030107</v>
          </cell>
        </row>
        <row r="266">
          <cell r="B266" t="str">
            <v>Housing Loans</v>
          </cell>
          <cell r="C266">
            <v>22030108</v>
          </cell>
        </row>
        <row r="268">
          <cell r="B268" t="str">
            <v>Local Grants &amp; Contribution General</v>
          </cell>
          <cell r="C268">
            <v>22040100</v>
          </cell>
        </row>
        <row r="269">
          <cell r="B269" t="str">
            <v>Grant To State Governments - Current</v>
          </cell>
          <cell r="C269">
            <v>22040101</v>
          </cell>
        </row>
        <row r="270">
          <cell r="B270" t="str">
            <v>Grant To State Governments - Capital</v>
          </cell>
          <cell r="C270">
            <v>22040102</v>
          </cell>
        </row>
        <row r="271">
          <cell r="B271" t="str">
            <v>Grant To Local Governments - Current</v>
          </cell>
          <cell r="C271">
            <v>22040103</v>
          </cell>
        </row>
        <row r="272">
          <cell r="B272" t="str">
            <v>Grant To Local Governments - Capital</v>
          </cell>
          <cell r="C272">
            <v>22040104</v>
          </cell>
        </row>
        <row r="273">
          <cell r="B273" t="str">
            <v>Grant To Government Owned Companies - Current</v>
          </cell>
          <cell r="C273">
            <v>22040105</v>
          </cell>
        </row>
        <row r="274">
          <cell r="B274" t="str">
            <v>Grant To Government Owned Companies - Capital</v>
          </cell>
          <cell r="C274">
            <v>22040106</v>
          </cell>
        </row>
        <row r="275">
          <cell r="B275" t="str">
            <v>Grant To Private Companies - Current</v>
          </cell>
          <cell r="C275">
            <v>22040107</v>
          </cell>
        </row>
        <row r="276">
          <cell r="B276" t="str">
            <v>Grant To Private Companies - Capital</v>
          </cell>
          <cell r="C276">
            <v>22040108</v>
          </cell>
        </row>
        <row r="277">
          <cell r="B277" t="str">
            <v>Grant To Communities/NGOs</v>
          </cell>
          <cell r="C277">
            <v>22040109</v>
          </cell>
        </row>
        <row r="278">
          <cell r="B278" t="str">
            <v>Recurrent Grants to Govt Owned Companies</v>
          </cell>
          <cell r="C278">
            <v>22040110</v>
          </cell>
        </row>
        <row r="279">
          <cell r="B279" t="str">
            <v>Recurrent Grants to NYSC</v>
          </cell>
          <cell r="C279">
            <v>22040111</v>
          </cell>
        </row>
        <row r="280">
          <cell r="B280" t="str">
            <v>Recurrent Grants to Nigerian Labour Congress</v>
          </cell>
          <cell r="C280">
            <v>22040112</v>
          </cell>
        </row>
        <row r="281">
          <cell r="B281" t="str">
            <v>Recurrent Grants to ABU Zaria</v>
          </cell>
          <cell r="C281">
            <v>22040113</v>
          </cell>
        </row>
        <row r="282">
          <cell r="B282" t="str">
            <v>Recurrent Grants to Other Org. &amp; Agencie</v>
          </cell>
          <cell r="C282">
            <v>22040114</v>
          </cell>
        </row>
        <row r="283">
          <cell r="B283" t="str">
            <v>LG Shares of State Internally Generated Revenue</v>
          </cell>
          <cell r="C283">
            <v>22040115</v>
          </cell>
        </row>
        <row r="284">
          <cell r="B284" t="str">
            <v>Govt 10% to Staff pension Scheme</v>
          </cell>
          <cell r="C284">
            <v>22040116</v>
          </cell>
        </row>
        <row r="285">
          <cell r="B285" t="str">
            <v>Overhead Cost Payment to Parastatals &amp; Agencies</v>
          </cell>
          <cell r="C285">
            <v>22040117</v>
          </cell>
        </row>
        <row r="286">
          <cell r="B286" t="str">
            <v>Government Contribution to LG Staff Pension</v>
          </cell>
          <cell r="C286">
            <v>22040118</v>
          </cell>
        </row>
        <row r="287">
          <cell r="B287" t="str">
            <v>Recurrent Counterpart Contribution by Government</v>
          </cell>
          <cell r="C287">
            <v>22040119</v>
          </cell>
        </row>
        <row r="289">
          <cell r="B289" t="str">
            <v>Foreign Grants &amp; Contribution General</v>
          </cell>
          <cell r="C289">
            <v>22040200</v>
          </cell>
        </row>
        <row r="290">
          <cell r="B290" t="str">
            <v>Grant To Foreign Governments</v>
          </cell>
          <cell r="C290">
            <v>22040201</v>
          </cell>
        </row>
        <row r="291">
          <cell r="B291" t="str">
            <v>Grant To Foreign International Organizations</v>
          </cell>
          <cell r="C291">
            <v>22040202</v>
          </cell>
        </row>
        <row r="293">
          <cell r="B293" t="str">
            <v>Subsidy to Gov't Owned Companies</v>
          </cell>
          <cell r="C293">
            <v>22050100</v>
          </cell>
        </row>
        <row r="294">
          <cell r="B294" t="str">
            <v>Subsidy To Government Owned Companies</v>
          </cell>
          <cell r="C294">
            <v>22050101</v>
          </cell>
        </row>
        <row r="295">
          <cell r="B295" t="str">
            <v>Meal Subsidy to Government Schools</v>
          </cell>
          <cell r="C295">
            <v>22050102</v>
          </cell>
        </row>
        <row r="297">
          <cell r="B297" t="str">
            <v>Subsidy to Private Companies</v>
          </cell>
          <cell r="C297">
            <v>22050200</v>
          </cell>
        </row>
        <row r="298">
          <cell r="B298" t="str">
            <v>Subsidy To Private Companies</v>
          </cell>
          <cell r="C298">
            <v>22050201</v>
          </cell>
        </row>
        <row r="300">
          <cell r="B300" t="str">
            <v>Foreign Loans Repayment</v>
          </cell>
          <cell r="C300">
            <v>22060100</v>
          </cell>
        </row>
        <row r="301">
          <cell r="B301" t="str">
            <v>Foreign Loans and Interest Repayment</v>
          </cell>
          <cell r="C301">
            <v>22060101</v>
          </cell>
        </row>
        <row r="303">
          <cell r="B303" t="str">
            <v>Domestic Loans Repayment</v>
          </cell>
          <cell r="C303">
            <v>22060200</v>
          </cell>
        </row>
        <row r="304">
          <cell r="B304" t="str">
            <v>Domestic Loans and Interest Repayment</v>
          </cell>
          <cell r="C304">
            <v>220602</v>
          </cell>
        </row>
        <row r="305">
          <cell r="B305" t="str">
            <v>Internal public Debt- Principal Repayment</v>
          </cell>
          <cell r="C305">
            <v>22060201</v>
          </cell>
        </row>
        <row r="306">
          <cell r="B306" t="str">
            <v>Refunds (Tax,Others)</v>
          </cell>
          <cell r="C306">
            <v>22060202</v>
          </cell>
        </row>
        <row r="307">
          <cell r="B307" t="str">
            <v>Settlement of Outstanding Recurrent Liabilities</v>
          </cell>
          <cell r="C307">
            <v>22060203</v>
          </cell>
        </row>
        <row r="309">
          <cell r="B309" t="str">
            <v>TRANSFER TO OTHER FUNDS</v>
          </cell>
          <cell r="C309" t="str">
            <v>22070000</v>
          </cell>
        </row>
        <row r="310">
          <cell r="B310" t="str">
            <v>Transfer to CDF</v>
          </cell>
          <cell r="C310" t="str">
            <v>22070001</v>
          </cell>
        </row>
        <row r="311">
          <cell r="B311" t="str">
            <v>Transfer to Contingency Fund</v>
          </cell>
          <cell r="C311">
            <v>22070002</v>
          </cell>
        </row>
        <row r="312">
          <cell r="B312" t="str">
            <v>Transfer to Sinking Fund Investment</v>
          </cell>
          <cell r="C312">
            <v>22070003</v>
          </cell>
        </row>
        <row r="313">
          <cell r="B313" t="str">
            <v>Service Wide Vote</v>
          </cell>
          <cell r="C313">
            <v>22070004</v>
          </cell>
        </row>
        <row r="314">
          <cell r="B314" t="str">
            <v>Transfer to welfare loans &amp; Advances Fund</v>
          </cell>
          <cell r="C314">
            <v>22070005</v>
          </cell>
        </row>
        <row r="315">
          <cell r="B315" t="str">
            <v>Grant To Local Governments - Capital</v>
          </cell>
          <cell r="C315">
            <v>22040104</v>
          </cell>
        </row>
        <row r="316">
          <cell r="B316" t="str">
            <v>Grant To Government Owned Companies - Current</v>
          </cell>
          <cell r="C316">
            <v>22040105</v>
          </cell>
        </row>
        <row r="317">
          <cell r="B317" t="str">
            <v>Grant To Government Owned Companies - Capital</v>
          </cell>
          <cell r="C317">
            <v>22040106</v>
          </cell>
        </row>
        <row r="318">
          <cell r="B318" t="str">
            <v>Grant To Private Companies - Current</v>
          </cell>
          <cell r="C318">
            <v>22040107</v>
          </cell>
        </row>
        <row r="319">
          <cell r="B319" t="str">
            <v>Grant To Private Companies - Capital</v>
          </cell>
          <cell r="C319">
            <v>22040108</v>
          </cell>
        </row>
        <row r="320">
          <cell r="B320" t="str">
            <v>Grant To Communities/NGOs</v>
          </cell>
          <cell r="C320">
            <v>22040109</v>
          </cell>
        </row>
        <row r="321">
          <cell r="B321" t="str">
            <v>Recurrent Grants to Govt Owned Companies</v>
          </cell>
          <cell r="C321">
            <v>22040110</v>
          </cell>
        </row>
        <row r="322">
          <cell r="B322" t="str">
            <v>Recurrent Grants to NYSC</v>
          </cell>
          <cell r="C322">
            <v>22040111</v>
          </cell>
        </row>
        <row r="323">
          <cell r="B323" t="str">
            <v>Recurrent Grants to Nigerian Labour Congress</v>
          </cell>
          <cell r="C323">
            <v>22040112</v>
          </cell>
        </row>
        <row r="324">
          <cell r="B324" t="str">
            <v>Recurrent Grants to ABU Zaria</v>
          </cell>
          <cell r="C324">
            <v>22040113</v>
          </cell>
        </row>
        <row r="325">
          <cell r="B325" t="str">
            <v>Recurrent Grants to Other Org. &amp; Agencies</v>
          </cell>
          <cell r="C325">
            <v>22040114</v>
          </cell>
        </row>
        <row r="326">
          <cell r="B326" t="str">
            <v>LG Shares of State Internally Generated Revenue</v>
          </cell>
          <cell r="C326">
            <v>22040115</v>
          </cell>
        </row>
        <row r="327">
          <cell r="B327" t="str">
            <v>Gov't 10% to Staff pension Scheme</v>
          </cell>
          <cell r="C327">
            <v>22040116</v>
          </cell>
        </row>
        <row r="328">
          <cell r="B328" t="str">
            <v>Overhead Cost Payment to Parastatals &amp; Agencies</v>
          </cell>
          <cell r="C328">
            <v>22040117</v>
          </cell>
        </row>
        <row r="329">
          <cell r="B329" t="str">
            <v>Government Contribution to LG Staff Pension</v>
          </cell>
          <cell r="C329">
            <v>22040118</v>
          </cell>
        </row>
        <row r="330">
          <cell r="B330" t="str">
            <v>Recurrent Counterpart Contribution by Government</v>
          </cell>
          <cell r="C330">
            <v>22040119</v>
          </cell>
        </row>
        <row r="331">
          <cell r="B331" t="str">
            <v>Contribution to Traditional Councils ( Emirates &amp; Chiefdoms)</v>
          </cell>
          <cell r="C331">
            <v>22040120</v>
          </cell>
        </row>
        <row r="332">
          <cell r="B332" t="str">
            <v>Grant to Foreign Governments</v>
          </cell>
          <cell r="C332">
            <v>22040201</v>
          </cell>
        </row>
        <row r="333">
          <cell r="B333" t="str">
            <v>Grant to Foreign International Organizations</v>
          </cell>
          <cell r="C333">
            <v>22040202</v>
          </cell>
        </row>
        <row r="334">
          <cell r="B334" t="str">
            <v>Subsidy to Government Owned Companies</v>
          </cell>
          <cell r="C334">
            <v>22050101</v>
          </cell>
        </row>
        <row r="335">
          <cell r="B335" t="str">
            <v>Meal Subsidy to Government Schools</v>
          </cell>
          <cell r="C335">
            <v>22050102</v>
          </cell>
        </row>
        <row r="336">
          <cell r="B336" t="str">
            <v>Subsidy to Private Companies</v>
          </cell>
          <cell r="C336">
            <v>22050201</v>
          </cell>
        </row>
        <row r="337">
          <cell r="B337" t="str">
            <v>External Debts Repayments- Principal</v>
          </cell>
          <cell r="C337">
            <v>22060101</v>
          </cell>
        </row>
        <row r="338">
          <cell r="B338" t="str">
            <v>External Debts Repayments- Interests</v>
          </cell>
          <cell r="C338">
            <v>22060102</v>
          </cell>
        </row>
        <row r="339">
          <cell r="B339" t="str">
            <v>Domestic Loans and Interest Repayment</v>
          </cell>
          <cell r="C339">
            <v>22060201</v>
          </cell>
        </row>
        <row r="340">
          <cell r="B340" t="str">
            <v>Internal public Debt- Principal Repayment</v>
          </cell>
          <cell r="C340">
            <v>22060202</v>
          </cell>
        </row>
        <row r="341">
          <cell r="B341" t="str">
            <v>Refunds (Tax  Others)</v>
          </cell>
          <cell r="C341">
            <v>22060203</v>
          </cell>
        </row>
        <row r="342">
          <cell r="B342" t="str">
            <v>Settlement of Outstanding Recurrent Liabilities</v>
          </cell>
          <cell r="C342">
            <v>22060204</v>
          </cell>
        </row>
        <row r="343">
          <cell r="B343" t="str">
            <v>Transfer to CDF</v>
          </cell>
          <cell r="C343">
            <v>22070001</v>
          </cell>
        </row>
        <row r="344">
          <cell r="B344" t="str">
            <v>Transfer to Contingency Fund</v>
          </cell>
          <cell r="C344">
            <v>22070002</v>
          </cell>
        </row>
        <row r="345">
          <cell r="B345" t="str">
            <v>Transfer to Sinking Fund Investment</v>
          </cell>
          <cell r="C345">
            <v>22070003</v>
          </cell>
        </row>
        <row r="346">
          <cell r="B346" t="str">
            <v>Service Wide Vote</v>
          </cell>
          <cell r="C346">
            <v>22070004</v>
          </cell>
        </row>
        <row r="347">
          <cell r="B347" t="str">
            <v>Transfer to Welfare Loans &amp; Advances(WL&amp;A)Fund</v>
          </cell>
          <cell r="C347">
            <v>22070005</v>
          </cell>
        </row>
        <row r="348">
          <cell r="B348" t="str">
            <v>With-Holding Taxes due to FIRS</v>
          </cell>
          <cell r="C348">
            <v>22080001</v>
          </cell>
        </row>
        <row r="349">
          <cell r="B349" t="str">
            <v>VAT Due to FIRS</v>
          </cell>
          <cell r="C349">
            <v>22080002</v>
          </cell>
        </row>
        <row r="350">
          <cell r="B350" t="str">
            <v>Union Deductions</v>
          </cell>
          <cell r="C350">
            <v>22080003</v>
          </cell>
        </row>
        <row r="351">
          <cell r="B351" t="str">
            <v>Loans Deduction from Salary</v>
          </cell>
          <cell r="C351">
            <v>22080004</v>
          </cell>
        </row>
        <row r="352">
          <cell r="B352" t="str">
            <v>Montrhly Net Pay Control Account</v>
          </cell>
          <cell r="C352">
            <v>22080005</v>
          </cell>
        </row>
        <row r="353">
          <cell r="B353" t="str">
            <v>Statutory Allocation To Local Governments</v>
          </cell>
          <cell r="C353">
            <v>22080006</v>
          </cell>
        </row>
        <row r="354">
          <cell r="B354" t="str">
            <v>Revenue to Judiciary from Federal Government</v>
          </cell>
          <cell r="C354">
            <v>22080007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REAKDOWN"/>
    </sheetNames>
    <sheetDataSet>
      <sheetData sheetId="0"/>
      <sheetData sheetId="1">
        <row r="21">
          <cell r="E21">
            <v>3806000000</v>
          </cell>
          <cell r="F21">
            <v>10470334125</v>
          </cell>
        </row>
        <row r="30">
          <cell r="E30">
            <v>1350000000</v>
          </cell>
          <cell r="F30">
            <v>1000500000</v>
          </cell>
        </row>
        <row r="35">
          <cell r="E35">
            <v>76524336</v>
          </cell>
          <cell r="F35">
            <v>99500000</v>
          </cell>
        </row>
        <row r="48">
          <cell r="E48">
            <v>24580000</v>
          </cell>
          <cell r="F48">
            <v>35000000</v>
          </cell>
        </row>
        <row r="54">
          <cell r="E54">
            <v>1700000</v>
          </cell>
          <cell r="F54">
            <v>2070000</v>
          </cell>
        </row>
        <row r="58">
          <cell r="E58">
            <v>32855550</v>
          </cell>
          <cell r="F58">
            <v>42712215</v>
          </cell>
        </row>
        <row r="65">
          <cell r="E65">
            <v>18900000</v>
          </cell>
          <cell r="F65">
            <v>19600000</v>
          </cell>
        </row>
        <row r="70">
          <cell r="E70">
            <v>6800000</v>
          </cell>
          <cell r="F70">
            <v>8500000</v>
          </cell>
        </row>
        <row r="76">
          <cell r="E76">
            <v>6500000</v>
          </cell>
          <cell r="F76">
            <v>6750000</v>
          </cell>
        </row>
        <row r="97">
          <cell r="E97">
            <v>75330000</v>
          </cell>
          <cell r="F97">
            <v>101982100</v>
          </cell>
        </row>
        <row r="106">
          <cell r="E106">
            <v>23960000</v>
          </cell>
          <cell r="F106">
            <v>27300000</v>
          </cell>
        </row>
        <row r="113">
          <cell r="E113">
            <v>6315000</v>
          </cell>
          <cell r="F113">
            <v>8200000</v>
          </cell>
        </row>
        <row r="124">
          <cell r="E124">
            <v>105183250</v>
          </cell>
          <cell r="F124">
            <v>118000000</v>
          </cell>
        </row>
        <row r="142">
          <cell r="E142">
            <v>655779300</v>
          </cell>
          <cell r="F142">
            <v>671408510</v>
          </cell>
        </row>
        <row r="175">
          <cell r="E175">
            <v>543180750</v>
          </cell>
          <cell r="F175">
            <v>713104400</v>
          </cell>
        </row>
        <row r="195">
          <cell r="E195">
            <v>594400000</v>
          </cell>
          <cell r="F195">
            <v>674120000</v>
          </cell>
        </row>
        <row r="223">
          <cell r="E223">
            <v>267954740</v>
          </cell>
          <cell r="F223">
            <v>342481300</v>
          </cell>
        </row>
        <row r="229">
          <cell r="E229">
            <v>650000</v>
          </cell>
          <cell r="F229">
            <v>845000</v>
          </cell>
        </row>
        <row r="235">
          <cell r="E235">
            <v>300000</v>
          </cell>
          <cell r="F235">
            <v>200000</v>
          </cell>
        </row>
        <row r="239">
          <cell r="E239">
            <v>230000</v>
          </cell>
          <cell r="F239">
            <v>300000</v>
          </cell>
        </row>
        <row r="244">
          <cell r="E244">
            <v>246155338</v>
          </cell>
          <cell r="F244">
            <v>338155338</v>
          </cell>
        </row>
        <row r="259">
          <cell r="E259">
            <v>48358050</v>
          </cell>
          <cell r="F259">
            <v>53829500</v>
          </cell>
        </row>
        <row r="275">
          <cell r="E275">
            <v>21781650</v>
          </cell>
          <cell r="F275">
            <v>25000000</v>
          </cell>
        </row>
        <row r="292">
          <cell r="E292">
            <v>6723400</v>
          </cell>
          <cell r="F292">
            <v>8700000</v>
          </cell>
        </row>
        <row r="308">
          <cell r="E308">
            <v>1427500</v>
          </cell>
          <cell r="F308">
            <v>2000000</v>
          </cell>
        </row>
        <row r="323">
          <cell r="E323">
            <v>4800000</v>
          </cell>
          <cell r="F323">
            <v>5500000</v>
          </cell>
        </row>
        <row r="339">
          <cell r="E339">
            <v>20806900</v>
          </cell>
          <cell r="F339">
            <v>22000000</v>
          </cell>
        </row>
        <row r="354">
          <cell r="E354">
            <v>2276100</v>
          </cell>
          <cell r="F354">
            <v>2500000</v>
          </cell>
        </row>
        <row r="371">
          <cell r="E371">
            <v>5192450</v>
          </cell>
          <cell r="F371">
            <v>6528000</v>
          </cell>
        </row>
        <row r="387">
          <cell r="E387">
            <v>1407000</v>
          </cell>
          <cell r="F387">
            <v>1500000</v>
          </cell>
        </row>
        <row r="404">
          <cell r="E404">
            <v>11743750</v>
          </cell>
          <cell r="F404">
            <v>12200000</v>
          </cell>
        </row>
        <row r="420">
          <cell r="E420">
            <v>9154200</v>
          </cell>
          <cell r="F420">
            <v>10500000</v>
          </cell>
        </row>
        <row r="436">
          <cell r="E436">
            <v>18586750</v>
          </cell>
          <cell r="F436">
            <v>16799400</v>
          </cell>
        </row>
        <row r="455">
          <cell r="E455">
            <v>26597200</v>
          </cell>
          <cell r="F455">
            <v>23482000</v>
          </cell>
        </row>
        <row r="471">
          <cell r="E471">
            <v>9421400</v>
          </cell>
          <cell r="F471">
            <v>8273400</v>
          </cell>
        </row>
        <row r="487">
          <cell r="E487">
            <v>9415900</v>
          </cell>
          <cell r="F487">
            <v>12200000</v>
          </cell>
        </row>
        <row r="503">
          <cell r="E503">
            <v>10348800</v>
          </cell>
          <cell r="F503">
            <v>13400000</v>
          </cell>
        </row>
        <row r="511">
          <cell r="E511">
            <v>0</v>
          </cell>
        </row>
        <row r="524">
          <cell r="E524">
            <v>26627100</v>
          </cell>
          <cell r="F524">
            <v>34615280</v>
          </cell>
        </row>
        <row r="540">
          <cell r="E540">
            <v>11039175000</v>
          </cell>
        </row>
        <row r="572">
          <cell r="E572">
            <v>25015314218</v>
          </cell>
          <cell r="F572">
            <v>26624769915.790619</v>
          </cell>
        </row>
        <row r="596">
          <cell r="E596">
            <v>660736765</v>
          </cell>
          <cell r="F596">
            <v>636675299.06640005</v>
          </cell>
        </row>
        <row r="622">
          <cell r="E622">
            <v>191256800</v>
          </cell>
          <cell r="F622">
            <v>248633408</v>
          </cell>
        </row>
        <row r="640">
          <cell r="E640">
            <v>32940175</v>
          </cell>
          <cell r="F640">
            <v>42822227.5</v>
          </cell>
        </row>
        <row r="672">
          <cell r="E672">
            <v>19350000</v>
          </cell>
          <cell r="F672">
            <v>25155000</v>
          </cell>
        </row>
        <row r="678">
          <cell r="E678">
            <v>106855200</v>
          </cell>
          <cell r="F678">
            <v>4400000</v>
          </cell>
        </row>
        <row r="683">
          <cell r="E683">
            <v>900000</v>
          </cell>
          <cell r="F683">
            <v>1500000</v>
          </cell>
        </row>
        <row r="688">
          <cell r="E688">
            <v>350000</v>
          </cell>
          <cell r="F688">
            <v>450000</v>
          </cell>
        </row>
        <row r="695">
          <cell r="E695">
            <v>2100000</v>
          </cell>
          <cell r="F695">
            <v>2700000</v>
          </cell>
        </row>
        <row r="699">
          <cell r="E699">
            <v>3250000</v>
          </cell>
          <cell r="F699">
            <v>4658062.5</v>
          </cell>
        </row>
        <row r="704">
          <cell r="E704">
            <v>13050000</v>
          </cell>
          <cell r="F704">
            <v>16900000</v>
          </cell>
        </row>
        <row r="722">
          <cell r="E722">
            <v>75894359</v>
          </cell>
          <cell r="F722">
            <v>22401584</v>
          </cell>
        </row>
        <row r="729">
          <cell r="E729">
            <v>11500000</v>
          </cell>
          <cell r="F729">
            <v>15000000</v>
          </cell>
        </row>
        <row r="739">
          <cell r="E739">
            <v>0</v>
          </cell>
          <cell r="F739">
            <v>1201800000</v>
          </cell>
        </row>
        <row r="749">
          <cell r="E749">
            <v>37259007</v>
          </cell>
          <cell r="F749">
            <v>39121957.75</v>
          </cell>
        </row>
        <row r="754">
          <cell r="E754">
            <v>1000000</v>
          </cell>
          <cell r="F754">
            <v>280000</v>
          </cell>
        </row>
        <row r="764">
          <cell r="E764">
            <v>18492000</v>
          </cell>
          <cell r="F764">
            <v>39592000</v>
          </cell>
        </row>
        <row r="773">
          <cell r="E773">
            <v>4819000</v>
          </cell>
          <cell r="F773">
            <v>6264700</v>
          </cell>
        </row>
        <row r="780">
          <cell r="E780">
            <v>7007500</v>
          </cell>
          <cell r="F780">
            <v>9109750</v>
          </cell>
        </row>
        <row r="787">
          <cell r="E787">
            <v>504650000</v>
          </cell>
          <cell r="F787">
            <v>15600000</v>
          </cell>
        </row>
        <row r="791">
          <cell r="E791">
            <v>92245627175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7" zoomScale="120" zoomScaleNormal="120" workbookViewId="0">
      <selection activeCell="B34" sqref="B34"/>
    </sheetView>
  </sheetViews>
  <sheetFormatPr defaultColWidth="9.140625" defaultRowHeight="14.25" customHeight="1"/>
  <cols>
    <col min="1" max="1" width="9.140625" style="37"/>
    <col min="2" max="2" width="48" style="37" customWidth="1"/>
    <col min="3" max="3" width="25.28515625" style="37" customWidth="1"/>
    <col min="4" max="4" width="27.28515625" style="309" customWidth="1"/>
    <col min="5" max="5" width="26.7109375" style="456" customWidth="1"/>
    <col min="6" max="16384" width="9.140625" style="37"/>
  </cols>
  <sheetData>
    <row r="1" spans="1:5" ht="14.25" customHeight="1">
      <c r="A1" s="513" t="s">
        <v>66</v>
      </c>
      <c r="B1" s="513"/>
      <c r="C1" s="513"/>
      <c r="D1" s="514"/>
    </row>
    <row r="2" spans="1:5" ht="14.25" customHeight="1">
      <c r="A2" s="513" t="s">
        <v>99</v>
      </c>
      <c r="B2" s="513"/>
      <c r="C2" s="513"/>
      <c r="D2" s="514"/>
    </row>
    <row r="3" spans="1:5" ht="33" customHeight="1">
      <c r="A3" s="86" t="s">
        <v>0</v>
      </c>
      <c r="B3" s="87" t="s">
        <v>73</v>
      </c>
      <c r="C3" s="91" t="s">
        <v>91</v>
      </c>
      <c r="D3" s="317" t="s">
        <v>196</v>
      </c>
    </row>
    <row r="4" spans="1:5" ht="15" customHeight="1">
      <c r="A4" s="88"/>
      <c r="B4" s="88" t="s">
        <v>3</v>
      </c>
      <c r="C4" s="92">
        <v>38851356689</v>
      </c>
      <c r="D4" s="307">
        <f>'3. ACCOUNTS SUMM'!E6</f>
        <v>15300000000</v>
      </c>
    </row>
    <row r="5" spans="1:5" ht="15" customHeight="1">
      <c r="A5" s="88"/>
      <c r="B5" s="88" t="s">
        <v>69</v>
      </c>
      <c r="C5" s="92">
        <v>45823866438</v>
      </c>
      <c r="D5" s="307">
        <f>'2. RECIEPTS SUMM'!E8</f>
        <v>50228877278.107018</v>
      </c>
      <c r="E5" s="110"/>
    </row>
    <row r="6" spans="1:5" ht="15" customHeight="1">
      <c r="A6" s="88"/>
      <c r="B6" s="88" t="s">
        <v>74</v>
      </c>
      <c r="C6" s="93">
        <v>33795300000</v>
      </c>
      <c r="D6" s="307">
        <f>'2. RECIEPTS SUMM'!E6</f>
        <v>34919424430.146599</v>
      </c>
    </row>
    <row r="7" spans="1:5" s="115" customFormat="1" ht="15" customHeight="1">
      <c r="A7" s="39"/>
      <c r="B7" s="39"/>
      <c r="C7" s="94">
        <f>SUM(C4:C6)</f>
        <v>118470523127</v>
      </c>
      <c r="D7" s="308">
        <f>SUM(D4:D6)</f>
        <v>100448301708.25362</v>
      </c>
      <c r="E7" s="457"/>
    </row>
    <row r="8" spans="1:5" ht="15" customHeight="1">
      <c r="A8" s="88"/>
      <c r="B8" s="88" t="s">
        <v>75</v>
      </c>
      <c r="C8" s="95"/>
      <c r="D8" s="307"/>
    </row>
    <row r="9" spans="1:5" ht="15" customHeight="1">
      <c r="A9" s="88"/>
      <c r="B9" s="88" t="s">
        <v>46</v>
      </c>
      <c r="C9" s="96">
        <v>31836241841</v>
      </c>
      <c r="D9" s="307">
        <v>39791025264.36702</v>
      </c>
    </row>
    <row r="10" spans="1:5" ht="15" customHeight="1">
      <c r="A10" s="88"/>
      <c r="B10" s="88" t="s">
        <v>47</v>
      </c>
      <c r="C10" s="96">
        <v>32213730401</v>
      </c>
      <c r="D10" s="307">
        <v>43674267531.162216</v>
      </c>
    </row>
    <row r="11" spans="1:5" s="115" customFormat="1" ht="15" customHeight="1">
      <c r="A11" s="39"/>
      <c r="B11" s="89" t="s">
        <v>76</v>
      </c>
      <c r="C11" s="94">
        <f>SUM(C9:C10)</f>
        <v>64049972242</v>
      </c>
      <c r="D11" s="308">
        <f>SUM(D9:D10)</f>
        <v>83465292795.529236</v>
      </c>
      <c r="E11" s="457"/>
    </row>
    <row r="12" spans="1:5" s="115" customFormat="1" ht="15" customHeight="1">
      <c r="A12" s="39"/>
      <c r="B12" s="39" t="s">
        <v>77</v>
      </c>
      <c r="C12" s="97">
        <f>C7-C11</f>
        <v>54420550885</v>
      </c>
      <c r="D12" s="308">
        <f>D7-D11</f>
        <v>16983008912.72438</v>
      </c>
      <c r="E12" s="457"/>
    </row>
    <row r="13" spans="1:5" ht="15" customHeight="1">
      <c r="A13" s="88"/>
      <c r="B13" s="88"/>
      <c r="C13" s="92"/>
      <c r="D13" s="307"/>
    </row>
    <row r="14" spans="1:5" ht="15" customHeight="1">
      <c r="A14" s="88"/>
      <c r="B14" s="90" t="s">
        <v>78</v>
      </c>
      <c r="C14" s="95"/>
      <c r="D14" s="307"/>
    </row>
    <row r="15" spans="1:5" ht="15" customHeight="1">
      <c r="A15" s="88"/>
      <c r="B15" s="88" t="s">
        <v>3</v>
      </c>
      <c r="C15" s="98">
        <v>0</v>
      </c>
      <c r="D15" s="307"/>
    </row>
    <row r="16" spans="1:5" s="115" customFormat="1" ht="15" customHeight="1">
      <c r="A16" s="39"/>
      <c r="B16" s="39" t="s">
        <v>77</v>
      </c>
      <c r="C16" s="99">
        <v>54420550885</v>
      </c>
      <c r="D16" s="308">
        <v>16987808912.72438</v>
      </c>
      <c r="E16" s="457"/>
    </row>
    <row r="17" spans="1:5" ht="15" customHeight="1">
      <c r="A17" s="88"/>
      <c r="B17" s="88" t="s">
        <v>5</v>
      </c>
      <c r="C17" s="98">
        <v>12626460737</v>
      </c>
      <c r="D17" s="307">
        <f>'2. RECIEPTS SUMM'!E7</f>
        <v>9469838052.75</v>
      </c>
    </row>
    <row r="18" spans="1:5" ht="15" customHeight="1">
      <c r="A18" s="88"/>
      <c r="B18" s="88"/>
      <c r="C18" s="98"/>
      <c r="D18" s="307"/>
    </row>
    <row r="19" spans="1:5" ht="15" customHeight="1">
      <c r="A19" s="88"/>
      <c r="B19" s="88" t="s">
        <v>168</v>
      </c>
      <c r="C19" s="98">
        <v>18250000000</v>
      </c>
      <c r="D19" s="307">
        <f>'2. RECIEPTS SUMM'!E21</f>
        <v>6650315000</v>
      </c>
    </row>
    <row r="20" spans="1:5" ht="15" customHeight="1">
      <c r="A20" s="88"/>
      <c r="B20" s="88" t="s">
        <v>27</v>
      </c>
      <c r="C20" s="98">
        <v>13779798471.169998</v>
      </c>
      <c r="D20" s="307">
        <f>'3. ACCOUNTS SUMM'!E83</f>
        <v>35308883903.145004</v>
      </c>
    </row>
    <row r="21" spans="1:5" ht="15" customHeight="1">
      <c r="A21" s="88"/>
      <c r="B21" s="508" t="s">
        <v>12</v>
      </c>
      <c r="C21" s="98">
        <v>6016577789</v>
      </c>
      <c r="D21" s="307">
        <f>'2. RECIEPTS SUMM'!E34</f>
        <v>55908309846.930008</v>
      </c>
    </row>
    <row r="22" spans="1:5" ht="15" customHeight="1">
      <c r="A22" s="88"/>
      <c r="B22" s="507" t="s">
        <v>23</v>
      </c>
      <c r="C22" s="98">
        <v>2079288767.4000001</v>
      </c>
      <c r="D22" s="307">
        <f>'2. RECIEPTS SUMM'!E50</f>
        <v>7135461665.5999994</v>
      </c>
    </row>
    <row r="23" spans="1:5" s="341" customFormat="1" ht="15" customHeight="1">
      <c r="A23" s="338"/>
      <c r="B23" s="338" t="s">
        <v>1605</v>
      </c>
      <c r="C23" s="339">
        <v>100000000</v>
      </c>
      <c r="D23" s="340">
        <f>'3. ACCOUNTS SUMM'!E20</f>
        <v>0</v>
      </c>
      <c r="E23" s="458"/>
    </row>
    <row r="24" spans="1:5" s="341" customFormat="1" ht="15" customHeight="1">
      <c r="A24" s="338"/>
      <c r="B24" s="338" t="s">
        <v>72</v>
      </c>
      <c r="C24" s="339">
        <v>1000000000</v>
      </c>
      <c r="D24" s="340">
        <f>'3. ACCOUNTS SUMM'!E21</f>
        <v>0</v>
      </c>
      <c r="E24" s="458"/>
    </row>
    <row r="25" spans="1:5" s="115" customFormat="1" ht="15" customHeight="1">
      <c r="A25" s="39"/>
      <c r="B25" s="39" t="s">
        <v>2133</v>
      </c>
      <c r="C25" s="99">
        <f>SUM(C15:C24)</f>
        <v>108272676649.56999</v>
      </c>
      <c r="D25" s="308">
        <f>SUM(D16:D24)</f>
        <v>131460617381.1494</v>
      </c>
      <c r="E25" s="457"/>
    </row>
    <row r="26" spans="1:5" ht="15" customHeight="1">
      <c r="A26" s="88"/>
      <c r="C26" s="99"/>
      <c r="D26" s="307"/>
    </row>
    <row r="27" spans="1:5" ht="15" customHeight="1">
      <c r="A27" s="88"/>
      <c r="B27" s="90" t="s">
        <v>698</v>
      </c>
      <c r="C27" s="100"/>
      <c r="D27" s="307"/>
    </row>
    <row r="28" spans="1:5" ht="15" customHeight="1">
      <c r="A28" s="88"/>
      <c r="B28" s="88" t="s">
        <v>79</v>
      </c>
      <c r="C28" s="100">
        <v>64049972242</v>
      </c>
      <c r="D28" s="307">
        <v>83465292795.529236</v>
      </c>
    </row>
    <row r="29" spans="1:5" ht="15" customHeight="1">
      <c r="A29" s="88"/>
      <c r="B29" s="88" t="s">
        <v>80</v>
      </c>
      <c r="C29" s="98">
        <v>108272676649.56999</v>
      </c>
      <c r="D29" s="307">
        <v>131455817381.14899</v>
      </c>
    </row>
    <row r="30" spans="1:5" s="115" customFormat="1" ht="15" customHeight="1">
      <c r="A30" s="39"/>
      <c r="B30" s="39" t="s">
        <v>81</v>
      </c>
      <c r="C30" s="101">
        <f>SUM(C28:C29)</f>
        <v>172322648891.57001</v>
      </c>
      <c r="D30" s="308">
        <f>SUM(D28:D29)</f>
        <v>214921110176.67822</v>
      </c>
      <c r="E30" s="457"/>
    </row>
    <row r="34" spans="3:4" ht="14.25" customHeight="1">
      <c r="C34" s="109"/>
      <c r="D34" s="310"/>
    </row>
  </sheetData>
  <mergeCells count="2">
    <mergeCell ref="A1:D1"/>
    <mergeCell ref="A2:D2"/>
  </mergeCells>
  <printOptions horizontalCentered="1"/>
  <pageMargins left="1.2204724409448819" right="0.70866141732283472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29"/>
  <sheetViews>
    <sheetView tabSelected="1" topLeftCell="A3" zoomScale="110" zoomScaleNormal="110" workbookViewId="0">
      <pane xSplit="22" ySplit="1" topLeftCell="W16" activePane="bottomRight" state="frozen"/>
      <selection activeCell="A3" sqref="A3"/>
      <selection pane="topRight" activeCell="AC3" sqref="AC3"/>
      <selection pane="bottomLeft" activeCell="A4" sqref="A4"/>
      <selection pane="bottomRight" activeCell="V1659" sqref="V1659"/>
    </sheetView>
  </sheetViews>
  <sheetFormatPr defaultColWidth="9.140625" defaultRowHeight="12.75"/>
  <cols>
    <col min="1" max="1" width="28.85546875" style="142" customWidth="1"/>
    <col min="2" max="2" width="10.28515625" style="143" hidden="1" customWidth="1"/>
    <col min="3" max="3" width="10.5703125" style="143" hidden="1" customWidth="1"/>
    <col min="4" max="4" width="11.28515625" style="143" hidden="1" customWidth="1"/>
    <col min="5" max="18" width="1.7109375" style="143" hidden="1" customWidth="1"/>
    <col min="19" max="19" width="9.42578125" style="143" hidden="1" customWidth="1"/>
    <col min="20" max="20" width="9.140625" style="143" hidden="1" customWidth="1"/>
    <col min="21" max="21" width="46.5703125" style="144" customWidth="1"/>
    <col min="22" max="22" width="22.42578125" style="145" customWidth="1"/>
    <col min="23" max="23" width="22.140625" style="353" customWidth="1"/>
    <col min="24" max="25" width="19.85546875" style="145" customWidth="1"/>
    <col min="26" max="16384" width="9.140625" style="143"/>
  </cols>
  <sheetData>
    <row r="1" spans="1:25" s="441" customFormat="1" ht="28.5">
      <c r="A1" s="536" t="s">
        <v>135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</row>
    <row r="2" spans="1:25" ht="18" customHeight="1">
      <c r="A2" s="146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346"/>
      <c r="X2" s="147"/>
      <c r="Y2" s="147"/>
    </row>
    <row r="3" spans="1:25" s="148" customFormat="1" ht="38.25" customHeight="1">
      <c r="A3" s="364" t="s">
        <v>1091</v>
      </c>
      <c r="B3" s="364" t="s">
        <v>1092</v>
      </c>
      <c r="C3" s="364" t="s">
        <v>1093</v>
      </c>
      <c r="D3" s="364" t="s">
        <v>1094</v>
      </c>
      <c r="E3" s="537" t="s">
        <v>1095</v>
      </c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9"/>
      <c r="S3" s="364" t="s">
        <v>1096</v>
      </c>
      <c r="T3" s="364" t="s">
        <v>1097</v>
      </c>
      <c r="U3" s="364" t="s">
        <v>1098</v>
      </c>
      <c r="V3" s="347" t="s">
        <v>1099</v>
      </c>
      <c r="W3" s="348" t="s">
        <v>2193</v>
      </c>
      <c r="X3" s="347" t="s">
        <v>723</v>
      </c>
      <c r="Y3" s="347" t="s">
        <v>724</v>
      </c>
    </row>
    <row r="4" spans="1:25" s="153" customFormat="1" ht="15.75">
      <c r="A4" s="14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1" t="s">
        <v>1100</v>
      </c>
      <c r="V4" s="152"/>
      <c r="W4" s="349"/>
      <c r="X4" s="152"/>
      <c r="Y4" s="152"/>
    </row>
    <row r="5" spans="1:25" s="153" customFormat="1" ht="15.75">
      <c r="A5" s="149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1" t="s">
        <v>1101</v>
      </c>
      <c r="V5" s="152"/>
      <c r="W5" s="349"/>
      <c r="X5" s="152"/>
      <c r="Y5" s="152"/>
    </row>
    <row r="6" spans="1:25" s="153" customFormat="1" ht="15.75">
      <c r="A6" s="149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4" t="s">
        <v>1102</v>
      </c>
      <c r="V6" s="152">
        <f t="shared" ref="V6:Y6" si="0">SUM(V33:V35)</f>
        <v>5577475527.6000004</v>
      </c>
      <c r="W6" s="155">
        <f t="shared" ref="W6" si="1">SUM(W33:W35)</f>
        <v>4665051845.71</v>
      </c>
      <c r="X6" s="152">
        <f t="shared" si="0"/>
        <v>6653287931.71</v>
      </c>
      <c r="Y6" s="152">
        <f t="shared" si="0"/>
        <v>7499925934.8800001</v>
      </c>
    </row>
    <row r="7" spans="1:25" s="153" customFormat="1" ht="15.75">
      <c r="A7" s="149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4" t="s">
        <v>1103</v>
      </c>
      <c r="V7" s="152">
        <f t="shared" ref="V7:Y7" si="2">V36</f>
        <v>1336000000</v>
      </c>
      <c r="W7" s="152">
        <f t="shared" ref="W7" si="3">W36+W41</f>
        <v>1551537348</v>
      </c>
      <c r="X7" s="152">
        <f t="shared" si="2"/>
        <v>1238582000</v>
      </c>
      <c r="Y7" s="152">
        <f t="shared" si="2"/>
        <v>1559932000</v>
      </c>
    </row>
    <row r="8" spans="1:25" s="153" customFormat="1" ht="15.75">
      <c r="A8" s="149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4" t="s">
        <v>1104</v>
      </c>
      <c r="V8" s="152">
        <f>SUM(V37,V38)</f>
        <v>2977051116.9250002</v>
      </c>
      <c r="W8" s="152">
        <f t="shared" ref="W8:Y8" si="4">SUM(W37,W38)</f>
        <v>7079453000</v>
      </c>
      <c r="X8" s="152">
        <f t="shared" si="4"/>
        <v>17202843846.5</v>
      </c>
      <c r="Y8" s="152">
        <f t="shared" si="4"/>
        <v>23641805000</v>
      </c>
    </row>
    <row r="9" spans="1:25" s="153" customFormat="1" ht="15.75">
      <c r="A9" s="149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4" t="s">
        <v>1105</v>
      </c>
      <c r="V9" s="152">
        <f t="shared" ref="V9:Y9" si="5">SUM(V39:V40)</f>
        <v>29770565940.810001</v>
      </c>
      <c r="W9" s="155">
        <f t="shared" ref="W9" si="6">SUM(W39:W40)</f>
        <v>24509907822.353996</v>
      </c>
      <c r="X9" s="152">
        <f t="shared" si="5"/>
        <v>38420000000</v>
      </c>
      <c r="Y9" s="152">
        <f t="shared" si="5"/>
        <v>40855000000</v>
      </c>
    </row>
    <row r="10" spans="1:25" s="153" customFormat="1" ht="15.75">
      <c r="A10" s="149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6" t="s">
        <v>1106</v>
      </c>
      <c r="V10" s="157">
        <f t="shared" ref="V10:Y10" si="7">SUM(V6:V9)</f>
        <v>39661092585.335007</v>
      </c>
      <c r="W10" s="157">
        <f t="shared" si="7"/>
        <v>37805950016.063995</v>
      </c>
      <c r="X10" s="157">
        <f t="shared" si="7"/>
        <v>63514713778.209999</v>
      </c>
      <c r="Y10" s="157">
        <f t="shared" si="7"/>
        <v>73556662934.880005</v>
      </c>
    </row>
    <row r="11" spans="1:25" s="153" customFormat="1" ht="15.75">
      <c r="A11" s="149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4" t="s">
        <v>1107</v>
      </c>
      <c r="V11" s="152"/>
      <c r="W11" s="372"/>
      <c r="X11" s="152"/>
      <c r="Y11" s="152"/>
    </row>
    <row r="12" spans="1:25" s="153" customFormat="1" ht="15.75">
      <c r="A12" s="149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1" t="s">
        <v>1108</v>
      </c>
      <c r="V12" s="152"/>
      <c r="W12" s="372"/>
      <c r="X12" s="152"/>
      <c r="Y12" s="152"/>
    </row>
    <row r="13" spans="1:25" s="153" customFormat="1" ht="15.75">
      <c r="A13" s="149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4" t="s">
        <v>1109</v>
      </c>
      <c r="V13" s="152">
        <f t="shared" ref="V13:Y13" si="8">V56</f>
        <v>27989429588.368004</v>
      </c>
      <c r="W13" s="152">
        <f t="shared" si="8"/>
        <v>44847334630.014992</v>
      </c>
      <c r="X13" s="152">
        <f t="shared" si="8"/>
        <v>42391782035.900002</v>
      </c>
      <c r="Y13" s="152">
        <f t="shared" si="8"/>
        <v>28248341261.940002</v>
      </c>
    </row>
    <row r="14" spans="1:25" s="153" customFormat="1" ht="15.75">
      <c r="A14" s="149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4" t="s">
        <v>1110</v>
      </c>
      <c r="V14" s="152">
        <f t="shared" ref="V14:Y14" si="9">V65</f>
        <v>6661683063.7299995</v>
      </c>
      <c r="W14" s="152">
        <f t="shared" si="9"/>
        <v>10490384271.799999</v>
      </c>
      <c r="X14" s="152">
        <f t="shared" si="9"/>
        <v>2523211450</v>
      </c>
      <c r="Y14" s="152">
        <f t="shared" si="9"/>
        <v>2576411450</v>
      </c>
    </row>
    <row r="15" spans="1:25" s="153" customFormat="1" ht="15.75">
      <c r="A15" s="149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4" t="s">
        <v>1111</v>
      </c>
      <c r="V15" s="152">
        <f t="shared" ref="V15:Y15" si="10">V70</f>
        <v>461551200</v>
      </c>
      <c r="W15" s="152">
        <f t="shared" si="10"/>
        <v>2303668000</v>
      </c>
      <c r="X15" s="152">
        <f t="shared" si="10"/>
        <v>1110000000</v>
      </c>
      <c r="Y15" s="152">
        <f t="shared" si="10"/>
        <v>835000000</v>
      </c>
    </row>
    <row r="16" spans="1:25" s="153" customFormat="1" ht="15.75">
      <c r="A16" s="149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6" t="s">
        <v>1112</v>
      </c>
      <c r="V16" s="157">
        <f t="shared" ref="V16:Y16" si="11">SUM(V13:V15)</f>
        <v>35112663852.098007</v>
      </c>
      <c r="W16" s="157">
        <f t="shared" si="11"/>
        <v>57641386901.814987</v>
      </c>
      <c r="X16" s="157">
        <f t="shared" si="11"/>
        <v>46024993485.900002</v>
      </c>
      <c r="Y16" s="157">
        <f t="shared" si="11"/>
        <v>31659752711.940002</v>
      </c>
    </row>
    <row r="17" spans="1:25" s="153" customFormat="1" ht="15.75">
      <c r="A17" s="149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4" t="s">
        <v>1107</v>
      </c>
      <c r="V17" s="152"/>
      <c r="W17" s="372"/>
      <c r="X17" s="152"/>
      <c r="Y17" s="152"/>
    </row>
    <row r="18" spans="1:25" s="153" customFormat="1" ht="15.75">
      <c r="A18" s="149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1" t="s">
        <v>1113</v>
      </c>
      <c r="V18" s="152"/>
      <c r="W18" s="372"/>
      <c r="X18" s="152"/>
      <c r="Y18" s="152"/>
    </row>
    <row r="19" spans="1:25" s="153" customFormat="1" ht="15.75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4" t="s">
        <v>1114</v>
      </c>
      <c r="V19" s="152">
        <f t="shared" ref="V19:Y19" si="12">SUM(V74:V75)</f>
        <v>2115820161</v>
      </c>
      <c r="W19" s="152">
        <f t="shared" si="12"/>
        <v>4581518531</v>
      </c>
      <c r="X19" s="152">
        <f t="shared" si="12"/>
        <v>2152544000</v>
      </c>
      <c r="Y19" s="152">
        <f t="shared" si="12"/>
        <v>1660500000</v>
      </c>
    </row>
    <row r="20" spans="1:25" s="153" customFormat="1" ht="15.75">
      <c r="A20" s="149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4" t="s">
        <v>1115</v>
      </c>
      <c r="V20" s="152">
        <f t="shared" ref="V20:Y20" si="13">SUM(V76:V77)</f>
        <v>11403208639.352499</v>
      </c>
      <c r="W20" s="152">
        <f t="shared" si="13"/>
        <v>8602882812.5299988</v>
      </c>
      <c r="X20" s="152">
        <f t="shared" si="13"/>
        <v>8857601000</v>
      </c>
      <c r="Y20" s="152">
        <f t="shared" si="13"/>
        <v>5372185817.04</v>
      </c>
    </row>
    <row r="21" spans="1:25" s="153" customFormat="1" ht="15.75">
      <c r="A21" s="149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6" t="s">
        <v>1116</v>
      </c>
      <c r="V21" s="157">
        <f t="shared" ref="V21:Y21" si="14">SUM(V19:V20)</f>
        <v>13519028800.352499</v>
      </c>
      <c r="W21" s="157">
        <f t="shared" si="14"/>
        <v>13184401343.529999</v>
      </c>
      <c r="X21" s="157">
        <f t="shared" si="14"/>
        <v>11010145000</v>
      </c>
      <c r="Y21" s="157">
        <f t="shared" si="14"/>
        <v>7032685817.04</v>
      </c>
    </row>
    <row r="22" spans="1:25" s="153" customFormat="1" ht="15.75">
      <c r="A22" s="149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4" t="s">
        <v>1107</v>
      </c>
      <c r="V22" s="152"/>
      <c r="W22" s="372"/>
      <c r="X22" s="152"/>
      <c r="Y22" s="152"/>
    </row>
    <row r="23" spans="1:25" s="153" customFormat="1" ht="15.75">
      <c r="A23" s="149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1" t="s">
        <v>1117</v>
      </c>
      <c r="V23" s="152"/>
      <c r="W23" s="372"/>
      <c r="X23" s="152"/>
      <c r="Y23" s="152"/>
    </row>
    <row r="24" spans="1:25" s="153" customFormat="1" ht="15.75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4" t="s">
        <v>1118</v>
      </c>
      <c r="V24" s="152">
        <f>V102</f>
        <v>16835644291.780001</v>
      </c>
      <c r="W24" s="152">
        <f t="shared" ref="W24:Y24" si="15">W102</f>
        <v>17924941287.739998</v>
      </c>
      <c r="X24" s="152">
        <f t="shared" si="15"/>
        <v>12285690228.24</v>
      </c>
      <c r="Y24" s="152">
        <f t="shared" si="15"/>
        <v>10860786788.08</v>
      </c>
    </row>
    <row r="25" spans="1:25" s="153" customFormat="1" ht="15.75">
      <c r="A25" s="149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4" t="s">
        <v>1119</v>
      </c>
      <c r="V25" s="152">
        <f t="shared" ref="V25:Y25" si="16">V106</f>
        <v>2155942120</v>
      </c>
      <c r="W25" s="152">
        <f t="shared" si="16"/>
        <v>3214973002</v>
      </c>
      <c r="X25" s="152">
        <f t="shared" si="16"/>
        <v>2654289002</v>
      </c>
      <c r="Y25" s="152">
        <f t="shared" si="16"/>
        <v>2517296887</v>
      </c>
    </row>
    <row r="26" spans="1:25" s="153" customFormat="1" ht="15.75">
      <c r="A26" s="149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4" t="s">
        <v>1120</v>
      </c>
      <c r="V26" s="152">
        <f t="shared" ref="V26:Y26" si="17">V113</f>
        <v>574105000</v>
      </c>
      <c r="W26" s="152">
        <f t="shared" si="17"/>
        <v>1225844100</v>
      </c>
      <c r="X26" s="152">
        <f t="shared" si="17"/>
        <v>465147600</v>
      </c>
      <c r="Y26" s="152">
        <f t="shared" si="17"/>
        <v>361015350</v>
      </c>
    </row>
    <row r="27" spans="1:25" s="153" customFormat="1" ht="15.75">
      <c r="A27" s="149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4" t="s">
        <v>1121</v>
      </c>
      <c r="V27" s="152">
        <f t="shared" ref="V27:Y27" si="18">V116</f>
        <v>414200000.00800002</v>
      </c>
      <c r="W27" s="152">
        <f t="shared" si="18"/>
        <v>458320730</v>
      </c>
      <c r="X27" s="152">
        <f t="shared" si="18"/>
        <v>586236766.5</v>
      </c>
      <c r="Y27" s="152">
        <f t="shared" si="18"/>
        <v>614152803</v>
      </c>
    </row>
    <row r="28" spans="1:25" s="153" customFormat="1" ht="15.75">
      <c r="A28" s="149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6" t="s">
        <v>1122</v>
      </c>
      <c r="V28" s="157">
        <f t="shared" ref="V28:Y28" si="19">SUM(V24:V27)</f>
        <v>19979891411.787998</v>
      </c>
      <c r="W28" s="157">
        <f t="shared" si="19"/>
        <v>22824079119.739998</v>
      </c>
      <c r="X28" s="157">
        <f t="shared" si="19"/>
        <v>15991363596.74</v>
      </c>
      <c r="Y28" s="157">
        <f t="shared" si="19"/>
        <v>14353251828.08</v>
      </c>
    </row>
    <row r="29" spans="1:25" s="153" customFormat="1" ht="15.75">
      <c r="A29" s="149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6" t="s">
        <v>84</v>
      </c>
      <c r="V29" s="157">
        <f t="shared" ref="V29:Y29" si="20">V28+V21+V16+V10</f>
        <v>108272676649.57352</v>
      </c>
      <c r="W29" s="157">
        <f t="shared" ref="W29" si="21">W28+W21+W16+W10</f>
        <v>131455817381.14899</v>
      </c>
      <c r="X29" s="157">
        <f t="shared" si="20"/>
        <v>136541215860.85001</v>
      </c>
      <c r="Y29" s="157">
        <f t="shared" si="20"/>
        <v>126602353291.94</v>
      </c>
    </row>
    <row r="30" spans="1:25" s="153" customFormat="1" ht="15.75">
      <c r="A30" s="158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60" t="s">
        <v>1107</v>
      </c>
      <c r="V30" s="161"/>
      <c r="W30" s="351"/>
      <c r="X30" s="161"/>
      <c r="Y30" s="161"/>
    </row>
    <row r="31" spans="1:25" ht="26.25">
      <c r="A31" s="540" t="s">
        <v>1123</v>
      </c>
      <c r="B31" s="541"/>
      <c r="C31" s="541"/>
      <c r="D31" s="541"/>
      <c r="E31" s="541"/>
      <c r="F31" s="541"/>
      <c r="G31" s="541"/>
      <c r="H31" s="541"/>
      <c r="I31" s="541"/>
      <c r="J31" s="541"/>
      <c r="K31" s="541"/>
      <c r="L31" s="541"/>
      <c r="M31" s="541"/>
      <c r="N31" s="541"/>
      <c r="O31" s="541"/>
      <c r="P31" s="541"/>
      <c r="Q31" s="541"/>
      <c r="R31" s="541"/>
      <c r="S31" s="541"/>
      <c r="T31" s="541"/>
      <c r="U31" s="541"/>
      <c r="V31" s="541"/>
      <c r="W31" s="541"/>
      <c r="X31" s="541"/>
      <c r="Y31" s="542"/>
    </row>
    <row r="32" spans="1:25" ht="16.5" customHeight="1">
      <c r="A32" s="162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4" t="s">
        <v>1101</v>
      </c>
      <c r="V32" s="165"/>
      <c r="W32" s="349"/>
      <c r="X32" s="165"/>
      <c r="Y32" s="165"/>
    </row>
    <row r="33" spans="1:25" ht="16.5" customHeight="1">
      <c r="A33" s="162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6" t="s">
        <v>1124</v>
      </c>
      <c r="V33" s="165">
        <f t="shared" ref="V33:Y33" si="22">V171</f>
        <v>4065396747.5999999</v>
      </c>
      <c r="W33" s="349">
        <f t="shared" si="22"/>
        <v>3114712411.71</v>
      </c>
      <c r="X33" s="165">
        <f t="shared" si="22"/>
        <v>4435096801.71</v>
      </c>
      <c r="Y33" s="165">
        <f t="shared" si="22"/>
        <v>4771732621.8800001</v>
      </c>
    </row>
    <row r="34" spans="1:25" ht="16.5" customHeight="1">
      <c r="A34" s="162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6" t="s">
        <v>1125</v>
      </c>
      <c r="V34" s="165">
        <f t="shared" ref="V34:Y34" si="23">V196</f>
        <v>515167500</v>
      </c>
      <c r="W34" s="349">
        <f t="shared" si="23"/>
        <v>446620900</v>
      </c>
      <c r="X34" s="165">
        <f t="shared" si="23"/>
        <v>1268475680</v>
      </c>
      <c r="Y34" s="165">
        <f t="shared" si="23"/>
        <v>1644477863</v>
      </c>
    </row>
    <row r="35" spans="1:25" ht="16.5" customHeight="1">
      <c r="A35" s="162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6" t="s">
        <v>1126</v>
      </c>
      <c r="V35" s="165">
        <f t="shared" ref="V35:Y35" si="24">V214</f>
        <v>996911280</v>
      </c>
      <c r="W35" s="349">
        <f t="shared" si="24"/>
        <v>1103718534</v>
      </c>
      <c r="X35" s="165">
        <f t="shared" si="24"/>
        <v>949715450</v>
      </c>
      <c r="Y35" s="165">
        <f t="shared" si="24"/>
        <v>1083715450</v>
      </c>
    </row>
    <row r="36" spans="1:25" ht="16.5" customHeight="1">
      <c r="A36" s="162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6" t="s">
        <v>1103</v>
      </c>
      <c r="V36" s="165">
        <f t="shared" ref="V36:Y36" si="25">V242</f>
        <v>1336000000</v>
      </c>
      <c r="W36" s="349">
        <f t="shared" si="25"/>
        <v>1060474425</v>
      </c>
      <c r="X36" s="165">
        <f t="shared" si="25"/>
        <v>1238582000</v>
      </c>
      <c r="Y36" s="165">
        <f t="shared" si="25"/>
        <v>1559932000</v>
      </c>
    </row>
    <row r="37" spans="1:25" ht="16.5" customHeight="1">
      <c r="A37" s="162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6" t="s">
        <v>1694</v>
      </c>
      <c r="V37" s="165">
        <f t="shared" ref="V37:Y37" si="26">V265</f>
        <v>2977051116.9250002</v>
      </c>
      <c r="W37" s="349">
        <f t="shared" si="26"/>
        <v>3954100000</v>
      </c>
      <c r="X37" s="165">
        <f t="shared" si="26"/>
        <v>1962843846.5</v>
      </c>
      <c r="Y37" s="165">
        <f t="shared" si="26"/>
        <v>2601805000</v>
      </c>
    </row>
    <row r="38" spans="1:25" ht="16.5" customHeight="1">
      <c r="A38" s="162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6" t="s">
        <v>1127</v>
      </c>
      <c r="V38" s="165">
        <f t="shared" ref="V38:Y38" si="27">V292</f>
        <v>0</v>
      </c>
      <c r="W38" s="349">
        <f t="shared" si="27"/>
        <v>3125353000</v>
      </c>
      <c r="X38" s="165">
        <f t="shared" si="27"/>
        <v>15240000000</v>
      </c>
      <c r="Y38" s="165">
        <f t="shared" si="27"/>
        <v>21040000000</v>
      </c>
    </row>
    <row r="39" spans="1:25" ht="16.5" customHeight="1">
      <c r="A39" s="162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6" t="s">
        <v>1128</v>
      </c>
      <c r="V39" s="165">
        <f t="shared" ref="V39:Y39" si="28">V336</f>
        <v>29270565940.810001</v>
      </c>
      <c r="W39" s="349">
        <f t="shared" si="28"/>
        <v>24064226308.643997</v>
      </c>
      <c r="X39" s="165">
        <f t="shared" si="28"/>
        <v>37920000000</v>
      </c>
      <c r="Y39" s="165">
        <f t="shared" si="28"/>
        <v>40300000000</v>
      </c>
    </row>
    <row r="40" spans="1:25" ht="16.5" customHeight="1">
      <c r="A40" s="162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6" t="s">
        <v>1129</v>
      </c>
      <c r="V40" s="165">
        <f t="shared" ref="V40:Y40" si="29">V355</f>
        <v>500000000</v>
      </c>
      <c r="W40" s="349">
        <f t="shared" si="29"/>
        <v>445681513.70999998</v>
      </c>
      <c r="X40" s="165">
        <f t="shared" si="29"/>
        <v>500000000</v>
      </c>
      <c r="Y40" s="165">
        <f t="shared" si="29"/>
        <v>555000000</v>
      </c>
    </row>
    <row r="41" spans="1:25" ht="16.5" customHeight="1">
      <c r="A41" s="162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6" t="s">
        <v>2166</v>
      </c>
      <c r="V41" s="165"/>
      <c r="W41" s="349">
        <f t="shared" ref="W41" si="30">W1437</f>
        <v>491062923</v>
      </c>
      <c r="X41" s="165"/>
      <c r="Y41" s="165"/>
    </row>
    <row r="42" spans="1:25" ht="16.5" customHeight="1">
      <c r="A42" s="162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7" t="s">
        <v>1106</v>
      </c>
      <c r="V42" s="168">
        <f t="shared" ref="V42:Y42" si="31">SUM(V33:V40)</f>
        <v>39661092585.335007</v>
      </c>
      <c r="W42" s="334">
        <f t="shared" ref="W42" si="32">SUM(W33:W41)</f>
        <v>37805950016.063995</v>
      </c>
      <c r="X42" s="168">
        <f t="shared" si="31"/>
        <v>63514713778.209999</v>
      </c>
      <c r="Y42" s="168">
        <f t="shared" si="31"/>
        <v>73556662934.880005</v>
      </c>
    </row>
    <row r="43" spans="1:25" ht="16.5" customHeight="1">
      <c r="A43" s="162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9" t="s">
        <v>1107</v>
      </c>
      <c r="V43" s="165"/>
      <c r="W43" s="349"/>
      <c r="X43" s="165"/>
      <c r="Y43" s="165"/>
    </row>
    <row r="44" spans="1:25" ht="16.5" customHeight="1">
      <c r="A44" s="162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4" t="s">
        <v>1108</v>
      </c>
      <c r="V44" s="165"/>
      <c r="W44" s="349"/>
      <c r="X44" s="165"/>
      <c r="Y44" s="165"/>
    </row>
    <row r="45" spans="1:25" ht="16.5" customHeight="1">
      <c r="A45" s="162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9" t="s">
        <v>1109</v>
      </c>
      <c r="V45" s="165"/>
      <c r="W45" s="349"/>
      <c r="X45" s="165"/>
      <c r="Y45" s="165"/>
    </row>
    <row r="46" spans="1:25" ht="16.5" customHeight="1">
      <c r="A46" s="162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6" t="s">
        <v>1130</v>
      </c>
      <c r="V46" s="165">
        <f t="shared" ref="V46:Y46" si="33">V388</f>
        <v>15036002071.200001</v>
      </c>
      <c r="W46" s="349">
        <f t="shared" si="33"/>
        <v>39565861745.93</v>
      </c>
      <c r="X46" s="165">
        <f t="shared" si="33"/>
        <v>34388458304</v>
      </c>
      <c r="Y46" s="165">
        <f t="shared" si="33"/>
        <v>24535854419</v>
      </c>
    </row>
    <row r="47" spans="1:25" ht="16.5" customHeight="1">
      <c r="A47" s="162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6" t="s">
        <v>1131</v>
      </c>
      <c r="V47" s="165">
        <f t="shared" ref="V47:Y47" si="34">V635</f>
        <v>6954530540.0780029</v>
      </c>
      <c r="W47" s="349">
        <f t="shared" si="34"/>
        <v>2468501307.394999</v>
      </c>
      <c r="X47" s="165">
        <f t="shared" si="34"/>
        <v>4570113550</v>
      </c>
      <c r="Y47" s="165">
        <f t="shared" si="34"/>
        <v>1900000000</v>
      </c>
    </row>
    <row r="48" spans="1:25" ht="16.5" customHeight="1">
      <c r="A48" s="162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6" t="s">
        <v>1132</v>
      </c>
      <c r="V48" s="165">
        <f t="shared" ref="V48:Y48" si="35">V663</f>
        <v>2161498641.1700001</v>
      </c>
      <c r="W48" s="349">
        <f t="shared" si="35"/>
        <v>548912345.01999998</v>
      </c>
      <c r="X48" s="165">
        <f t="shared" si="35"/>
        <v>421272085.20999998</v>
      </c>
      <c r="Y48" s="165">
        <f t="shared" si="35"/>
        <v>232428973.01999998</v>
      </c>
    </row>
    <row r="49" spans="1:25" ht="16.5" customHeight="1">
      <c r="A49" s="162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6" t="s">
        <v>1133</v>
      </c>
      <c r="V49" s="165">
        <f t="shared" ref="V49:Y49" si="36">V682</f>
        <v>68578500</v>
      </c>
      <c r="W49" s="349">
        <f t="shared" si="36"/>
        <v>284300000</v>
      </c>
      <c r="X49" s="165">
        <f t="shared" si="36"/>
        <v>274000000</v>
      </c>
      <c r="Y49" s="165">
        <f t="shared" si="36"/>
        <v>278000000</v>
      </c>
    </row>
    <row r="50" spans="1:25" ht="16.5" customHeight="1">
      <c r="A50" s="162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6" t="s">
        <v>1134</v>
      </c>
      <c r="V50" s="165">
        <f t="shared" ref="V50:Y50" si="37">V698</f>
        <v>2800000</v>
      </c>
      <c r="W50" s="349">
        <f t="shared" si="37"/>
        <v>0</v>
      </c>
      <c r="X50" s="165">
        <f t="shared" si="37"/>
        <v>2831000</v>
      </c>
      <c r="Y50" s="165">
        <f t="shared" si="37"/>
        <v>3114000</v>
      </c>
    </row>
    <row r="51" spans="1:25" ht="16.5" customHeight="1">
      <c r="A51" s="162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6" t="s">
        <v>1135</v>
      </c>
      <c r="V51" s="165">
        <f t="shared" ref="V51:Y51" si="38">V708</f>
        <v>1500000</v>
      </c>
      <c r="W51" s="349">
        <f t="shared" si="38"/>
        <v>1499999.93</v>
      </c>
      <c r="X51" s="165">
        <f t="shared" si="38"/>
        <v>0</v>
      </c>
      <c r="Y51" s="165">
        <f t="shared" si="38"/>
        <v>0</v>
      </c>
    </row>
    <row r="52" spans="1:25" ht="16.5" customHeight="1">
      <c r="A52" s="162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6" t="s">
        <v>1136</v>
      </c>
      <c r="V52" s="165">
        <f t="shared" ref="V52:Y52" si="39">V720</f>
        <v>2408000</v>
      </c>
      <c r="W52" s="349">
        <f t="shared" si="39"/>
        <v>0</v>
      </c>
      <c r="X52" s="165">
        <f t="shared" si="39"/>
        <v>6948000</v>
      </c>
      <c r="Y52" s="165">
        <f t="shared" si="39"/>
        <v>0</v>
      </c>
    </row>
    <row r="53" spans="1:25" ht="16.5" customHeight="1">
      <c r="A53" s="162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6" t="s">
        <v>1137</v>
      </c>
      <c r="V53" s="165">
        <f t="shared" ref="V53:Y53" si="40">V729</f>
        <v>2112000</v>
      </c>
      <c r="W53" s="349">
        <f t="shared" si="40"/>
        <v>1406000</v>
      </c>
      <c r="X53" s="165">
        <f t="shared" si="40"/>
        <v>0</v>
      </c>
      <c r="Y53" s="165">
        <f t="shared" si="40"/>
        <v>0</v>
      </c>
    </row>
    <row r="54" spans="1:25" ht="16.5" customHeight="1">
      <c r="A54" s="162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6" t="s">
        <v>1138</v>
      </c>
      <c r="V54" s="165">
        <f t="shared" ref="V54:Y54" si="41">V774</f>
        <v>3098999835.9200001</v>
      </c>
      <c r="W54" s="349">
        <f t="shared" si="41"/>
        <v>1725853231.74</v>
      </c>
      <c r="X54" s="165">
        <f t="shared" si="41"/>
        <v>2433159096.6900001</v>
      </c>
      <c r="Y54" s="165">
        <f t="shared" si="41"/>
        <v>1163943869.9200001</v>
      </c>
    </row>
    <row r="55" spans="1:25" ht="16.5" customHeight="1">
      <c r="A55" s="162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6" t="s">
        <v>1139</v>
      </c>
      <c r="V55" s="165">
        <f t="shared" ref="V55:Y55" si="42">V810</f>
        <v>661000000</v>
      </c>
      <c r="W55" s="349">
        <f t="shared" si="42"/>
        <v>251000000</v>
      </c>
      <c r="X55" s="165">
        <f t="shared" si="42"/>
        <v>295000000</v>
      </c>
      <c r="Y55" s="165">
        <f t="shared" si="42"/>
        <v>135000000</v>
      </c>
    </row>
    <row r="56" spans="1:25" ht="16.5" customHeight="1">
      <c r="A56" s="162"/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7" t="s">
        <v>1140</v>
      </c>
      <c r="V56" s="168">
        <f t="shared" ref="V56:Y56" si="43">SUM(V46:V55)</f>
        <v>27989429588.368004</v>
      </c>
      <c r="W56" s="334">
        <f t="shared" si="43"/>
        <v>44847334630.014992</v>
      </c>
      <c r="X56" s="168">
        <f t="shared" si="43"/>
        <v>42391782035.900002</v>
      </c>
      <c r="Y56" s="168">
        <f t="shared" si="43"/>
        <v>28248341261.940002</v>
      </c>
    </row>
    <row r="57" spans="1:25" ht="16.5" customHeight="1">
      <c r="A57" s="162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9" t="s">
        <v>1110</v>
      </c>
      <c r="V57" s="165"/>
      <c r="W57" s="349"/>
      <c r="X57" s="165"/>
      <c r="Y57" s="165"/>
    </row>
    <row r="58" spans="1:25" ht="16.5" customHeight="1">
      <c r="A58" s="162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6" t="s">
        <v>1141</v>
      </c>
      <c r="V58" s="165">
        <f t="shared" ref="V58:Y58" si="44">V847</f>
        <v>1734826394.1099999</v>
      </c>
      <c r="W58" s="165">
        <f t="shared" si="44"/>
        <v>4158739067.2900004</v>
      </c>
      <c r="X58" s="165">
        <f t="shared" si="44"/>
        <v>275000000</v>
      </c>
      <c r="Y58" s="165">
        <f t="shared" si="44"/>
        <v>452000000</v>
      </c>
    </row>
    <row r="59" spans="1:25" ht="16.5" customHeight="1">
      <c r="A59" s="162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6" t="s">
        <v>1142</v>
      </c>
      <c r="V59" s="165">
        <f t="shared" ref="V59:Y59" si="45">V932</f>
        <v>193137724.59000003</v>
      </c>
      <c r="W59" s="165">
        <f t="shared" si="45"/>
        <v>186996322.34999999</v>
      </c>
      <c r="X59" s="165">
        <f t="shared" si="45"/>
        <v>110000000</v>
      </c>
      <c r="Y59" s="165">
        <f t="shared" si="45"/>
        <v>45000000</v>
      </c>
    </row>
    <row r="60" spans="1:25" ht="16.5" customHeight="1">
      <c r="A60" s="162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6" t="s">
        <v>1143</v>
      </c>
      <c r="V60" s="165">
        <f t="shared" ref="V60:Y60" si="46">V958</f>
        <v>199428614.03</v>
      </c>
      <c r="W60" s="165">
        <f t="shared" si="46"/>
        <v>179617114.03</v>
      </c>
      <c r="X60" s="165">
        <f t="shared" si="46"/>
        <v>435000000</v>
      </c>
      <c r="Y60" s="165">
        <f t="shared" si="46"/>
        <v>404000000</v>
      </c>
    </row>
    <row r="61" spans="1:25" ht="16.5" customHeight="1">
      <c r="A61" s="162"/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6" t="s">
        <v>1144</v>
      </c>
      <c r="V61" s="165">
        <f t="shared" ref="V61:Y61" si="47">V985</f>
        <v>46189800</v>
      </c>
      <c r="W61" s="165">
        <f t="shared" si="47"/>
        <v>118159300</v>
      </c>
      <c r="X61" s="165">
        <f t="shared" si="47"/>
        <v>33000000</v>
      </c>
      <c r="Y61" s="165">
        <f t="shared" si="47"/>
        <v>0</v>
      </c>
    </row>
    <row r="62" spans="1:25" ht="16.5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6" t="s">
        <v>1145</v>
      </c>
      <c r="V62" s="165">
        <f t="shared" ref="V62:Y62" si="48">V1019</f>
        <v>3498309816</v>
      </c>
      <c r="W62" s="349">
        <f t="shared" si="48"/>
        <v>4276152007.1300001</v>
      </c>
      <c r="X62" s="165">
        <f t="shared" si="48"/>
        <v>304000000</v>
      </c>
      <c r="Y62" s="165">
        <f t="shared" si="48"/>
        <v>310000000</v>
      </c>
    </row>
    <row r="63" spans="1:25" ht="16.5" customHeight="1">
      <c r="A63" s="162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6" t="s">
        <v>1146</v>
      </c>
      <c r="V63" s="165">
        <f t="shared" ref="V63:Y63" si="49">V1054</f>
        <v>838416155</v>
      </c>
      <c r="W63" s="350">
        <f t="shared" si="49"/>
        <v>1161320461</v>
      </c>
      <c r="X63" s="165">
        <f t="shared" si="49"/>
        <v>55000000</v>
      </c>
      <c r="Y63" s="165">
        <f t="shared" si="49"/>
        <v>57000000</v>
      </c>
    </row>
    <row r="64" spans="1:25" ht="16.5" customHeight="1">
      <c r="A64" s="162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6" t="s">
        <v>1147</v>
      </c>
      <c r="V64" s="165">
        <f t="shared" ref="V64:Y64" si="50">V1069</f>
        <v>151374560</v>
      </c>
      <c r="W64" s="350">
        <f t="shared" si="50"/>
        <v>409400000</v>
      </c>
      <c r="X64" s="165">
        <f t="shared" si="50"/>
        <v>1311211450</v>
      </c>
      <c r="Y64" s="165">
        <f t="shared" si="50"/>
        <v>1308411450</v>
      </c>
    </row>
    <row r="65" spans="1:25" ht="16.5" customHeight="1">
      <c r="A65" s="162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7" t="s">
        <v>1148</v>
      </c>
      <c r="V65" s="168">
        <f t="shared" ref="V65:Y65" si="51">SUM(V58:V64)</f>
        <v>6661683063.7299995</v>
      </c>
      <c r="W65" s="334">
        <f t="shared" si="51"/>
        <v>10490384271.799999</v>
      </c>
      <c r="X65" s="168">
        <f t="shared" si="51"/>
        <v>2523211450</v>
      </c>
      <c r="Y65" s="168">
        <f t="shared" si="51"/>
        <v>2576411450</v>
      </c>
    </row>
    <row r="66" spans="1:25" ht="16.5" customHeight="1">
      <c r="A66" s="162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9" t="s">
        <v>1111</v>
      </c>
      <c r="V66" s="165"/>
      <c r="W66" s="349"/>
      <c r="X66" s="165"/>
      <c r="Y66" s="165"/>
    </row>
    <row r="67" spans="1:25" ht="16.5" customHeight="1">
      <c r="A67" s="162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6" t="s">
        <v>1149</v>
      </c>
      <c r="V67" s="165">
        <f t="shared" ref="V67:Y67" si="52">V1095</f>
        <v>207400000</v>
      </c>
      <c r="W67" s="349">
        <f t="shared" si="52"/>
        <v>604628000</v>
      </c>
      <c r="X67" s="165">
        <f t="shared" si="52"/>
        <v>330000000</v>
      </c>
      <c r="Y67" s="165">
        <f t="shared" si="52"/>
        <v>230000000</v>
      </c>
    </row>
    <row r="68" spans="1:25" ht="16.5" customHeight="1">
      <c r="A68" s="162"/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6" t="s">
        <v>1150</v>
      </c>
      <c r="V68" s="165">
        <f t="shared" ref="V68:Y68" si="53">V1125</f>
        <v>59151200</v>
      </c>
      <c r="W68" s="349">
        <f t="shared" si="53"/>
        <v>440040000</v>
      </c>
      <c r="X68" s="165">
        <f t="shared" si="53"/>
        <v>450000000</v>
      </c>
      <c r="Y68" s="165">
        <f t="shared" si="53"/>
        <v>255000000</v>
      </c>
    </row>
    <row r="69" spans="1:25" ht="16.5" customHeight="1">
      <c r="A69" s="162"/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6" t="s">
        <v>1151</v>
      </c>
      <c r="V69" s="165">
        <f t="shared" ref="V69:Y69" si="54">V1139</f>
        <v>195000000</v>
      </c>
      <c r="W69" s="349">
        <f t="shared" si="54"/>
        <v>1259000000</v>
      </c>
      <c r="X69" s="165">
        <f t="shared" si="54"/>
        <v>330000000</v>
      </c>
      <c r="Y69" s="165">
        <f t="shared" si="54"/>
        <v>350000000</v>
      </c>
    </row>
    <row r="70" spans="1:25" ht="16.5" customHeight="1">
      <c r="A70" s="162"/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7" t="s">
        <v>1152</v>
      </c>
      <c r="V70" s="168">
        <f t="shared" ref="V70:Y70" si="55">SUM(V67:V69)</f>
        <v>461551200</v>
      </c>
      <c r="W70" s="334">
        <f t="shared" si="55"/>
        <v>2303668000</v>
      </c>
      <c r="X70" s="168">
        <f t="shared" si="55"/>
        <v>1110000000</v>
      </c>
      <c r="Y70" s="168">
        <f t="shared" si="55"/>
        <v>835000000</v>
      </c>
    </row>
    <row r="71" spans="1:25" ht="16.5" customHeight="1">
      <c r="A71" s="162"/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7" t="s">
        <v>1112</v>
      </c>
      <c r="V71" s="168">
        <f t="shared" ref="V71:Y71" si="56">V70+V65+V56</f>
        <v>35112663852.098007</v>
      </c>
      <c r="W71" s="168">
        <f t="shared" si="56"/>
        <v>57641386901.814987</v>
      </c>
      <c r="X71" s="168">
        <f t="shared" si="56"/>
        <v>46024993485.900002</v>
      </c>
      <c r="Y71" s="168">
        <f t="shared" si="56"/>
        <v>31659752711.940002</v>
      </c>
    </row>
    <row r="72" spans="1:25" ht="16.5" customHeight="1">
      <c r="A72" s="162"/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6" t="s">
        <v>1107</v>
      </c>
      <c r="V72" s="165"/>
      <c r="W72" s="349"/>
      <c r="X72" s="165"/>
      <c r="Y72" s="165"/>
    </row>
    <row r="73" spans="1:25" ht="16.5" customHeight="1">
      <c r="A73" s="162"/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4" t="s">
        <v>1113</v>
      </c>
      <c r="V73" s="165"/>
      <c r="W73" s="349"/>
      <c r="X73" s="165"/>
      <c r="Y73" s="165"/>
    </row>
    <row r="74" spans="1:25" ht="16.5" customHeight="1">
      <c r="A74" s="162"/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6" t="s">
        <v>1153</v>
      </c>
      <c r="V74" s="165">
        <f t="shared" ref="V74:Y74" si="57">V1167</f>
        <v>2078397500</v>
      </c>
      <c r="W74" s="349">
        <f t="shared" si="57"/>
        <v>4274251002</v>
      </c>
      <c r="X74" s="165">
        <f t="shared" si="57"/>
        <v>1840426500</v>
      </c>
      <c r="Y74" s="165">
        <f t="shared" si="57"/>
        <v>1500000000</v>
      </c>
    </row>
    <row r="75" spans="1:25" ht="16.5" customHeight="1">
      <c r="A75" s="162"/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6" t="s">
        <v>1154</v>
      </c>
      <c r="V75" s="165">
        <f t="shared" ref="V75:Y75" si="58">V1201</f>
        <v>37422661</v>
      </c>
      <c r="W75" s="349">
        <f t="shared" si="58"/>
        <v>307267529</v>
      </c>
      <c r="X75" s="165">
        <f t="shared" si="58"/>
        <v>312117500</v>
      </c>
      <c r="Y75" s="165">
        <f t="shared" si="58"/>
        <v>160500000</v>
      </c>
    </row>
    <row r="76" spans="1:25" ht="16.5" customHeight="1">
      <c r="A76" s="162"/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6" t="s">
        <v>1155</v>
      </c>
      <c r="V76" s="165">
        <f t="shared" ref="V76:Y76" si="59">V1263</f>
        <v>10711760825.952499</v>
      </c>
      <c r="W76" s="349">
        <f t="shared" si="59"/>
        <v>7737722955.7299995</v>
      </c>
      <c r="X76" s="165">
        <f t="shared" si="59"/>
        <v>7902101000</v>
      </c>
      <c r="Y76" s="165">
        <f t="shared" si="59"/>
        <v>4507685817.04</v>
      </c>
    </row>
    <row r="77" spans="1:25" ht="16.5" customHeight="1">
      <c r="A77" s="162"/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70" t="s">
        <v>1156</v>
      </c>
      <c r="V77" s="165">
        <f t="shared" ref="V77:Y77" si="60">V1298</f>
        <v>691447813.39999998</v>
      </c>
      <c r="W77" s="165">
        <f t="shared" si="60"/>
        <v>865159856.79999995</v>
      </c>
      <c r="X77" s="165">
        <f t="shared" si="60"/>
        <v>955500000</v>
      </c>
      <c r="Y77" s="165">
        <f t="shared" si="60"/>
        <v>864500000</v>
      </c>
    </row>
    <row r="78" spans="1:25" ht="16.5" customHeight="1">
      <c r="A78" s="162"/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7" t="s">
        <v>1116</v>
      </c>
      <c r="V78" s="168">
        <f t="shared" ref="V78:Y78" si="61">SUM(V74:V77)</f>
        <v>13519028800.352499</v>
      </c>
      <c r="W78" s="334">
        <f t="shared" ref="W78" si="62">SUM(W74:W77)</f>
        <v>13184401343.529999</v>
      </c>
      <c r="X78" s="168">
        <f t="shared" si="61"/>
        <v>11010145000</v>
      </c>
      <c r="Y78" s="168">
        <f t="shared" si="61"/>
        <v>7032685817.04</v>
      </c>
    </row>
    <row r="79" spans="1:25" ht="16.5" customHeight="1">
      <c r="A79" s="162"/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6" t="s">
        <v>1107</v>
      </c>
      <c r="V79" s="165"/>
      <c r="W79" s="349"/>
      <c r="X79" s="165"/>
      <c r="Y79" s="165"/>
    </row>
    <row r="80" spans="1:25" ht="16.5" customHeight="1">
      <c r="A80" s="162"/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4" t="s">
        <v>1117</v>
      </c>
      <c r="V80" s="165"/>
      <c r="W80" s="349"/>
      <c r="X80" s="165"/>
      <c r="Y80" s="165"/>
    </row>
    <row r="81" spans="1:25" ht="16.5" customHeight="1">
      <c r="A81" s="162"/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9" t="s">
        <v>1118</v>
      </c>
      <c r="V81" s="165"/>
      <c r="W81" s="349"/>
      <c r="X81" s="165"/>
      <c r="Y81" s="165"/>
    </row>
    <row r="82" spans="1:25" ht="16.5" customHeight="1">
      <c r="A82" s="162"/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6" t="s">
        <v>1157</v>
      </c>
      <c r="V82" s="165">
        <f t="shared" ref="V82:Y82" si="63">V1325</f>
        <v>3682939890</v>
      </c>
      <c r="W82" s="350">
        <f t="shared" si="63"/>
        <v>3924454735.4199996</v>
      </c>
      <c r="X82" s="165">
        <f t="shared" si="63"/>
        <v>640700000</v>
      </c>
      <c r="Y82" s="165">
        <f t="shared" si="63"/>
        <v>0</v>
      </c>
    </row>
    <row r="83" spans="1:25" ht="23.25" customHeight="1">
      <c r="A83" s="162"/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6" t="s">
        <v>1158</v>
      </c>
      <c r="V83" s="165">
        <f t="shared" ref="V83:Y83" si="64">V1350</f>
        <v>460000000</v>
      </c>
      <c r="W83" s="350">
        <f t="shared" si="64"/>
        <v>460000000</v>
      </c>
      <c r="X83" s="165">
        <f t="shared" si="64"/>
        <v>250000000</v>
      </c>
      <c r="Y83" s="165">
        <f t="shared" si="64"/>
        <v>250000000</v>
      </c>
    </row>
    <row r="84" spans="1:25" ht="16.5" customHeight="1">
      <c r="A84" s="162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6" t="s">
        <v>1159</v>
      </c>
      <c r="V84" s="165">
        <f t="shared" ref="V84:Y84" si="65">V1363</f>
        <v>49239800</v>
      </c>
      <c r="W84" s="165">
        <f t="shared" si="65"/>
        <v>0</v>
      </c>
      <c r="X84" s="165">
        <f t="shared" si="65"/>
        <v>0</v>
      </c>
      <c r="Y84" s="165">
        <f t="shared" si="65"/>
        <v>0</v>
      </c>
    </row>
    <row r="85" spans="1:25" ht="16.5" customHeight="1">
      <c r="A85" s="162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6" t="s">
        <v>1160</v>
      </c>
      <c r="V85" s="165">
        <f t="shared" ref="V85:Y85" si="66">V1381</f>
        <v>2600015000</v>
      </c>
      <c r="W85" s="350">
        <f t="shared" si="66"/>
        <v>1789781578</v>
      </c>
      <c r="X85" s="165">
        <f t="shared" si="66"/>
        <v>351100000</v>
      </c>
      <c r="Y85" s="165">
        <f t="shared" si="66"/>
        <v>0</v>
      </c>
    </row>
    <row r="86" spans="1:25" ht="16.5" customHeight="1">
      <c r="A86" s="162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6" t="s">
        <v>1161</v>
      </c>
      <c r="V86" s="165">
        <f t="shared" ref="V86:Y86" si="67">V1395</f>
        <v>215400000</v>
      </c>
      <c r="W86" s="165">
        <f t="shared" si="67"/>
        <v>0</v>
      </c>
      <c r="X86" s="165">
        <f t="shared" si="67"/>
        <v>0</v>
      </c>
      <c r="Y86" s="165">
        <f t="shared" si="67"/>
        <v>0</v>
      </c>
    </row>
    <row r="87" spans="1:25" ht="23.25" customHeight="1">
      <c r="A87" s="162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6" t="s">
        <v>1162</v>
      </c>
      <c r="V87" s="165">
        <f t="shared" ref="V87:Y87" si="68">V1412</f>
        <v>365000000</v>
      </c>
      <c r="W87" s="350">
        <f t="shared" si="68"/>
        <v>407409500</v>
      </c>
      <c r="X87" s="165">
        <f t="shared" si="68"/>
        <v>505439000</v>
      </c>
      <c r="Y87" s="165">
        <f t="shared" si="68"/>
        <v>380000000</v>
      </c>
    </row>
    <row r="88" spans="1:25" ht="15.75" customHeight="1">
      <c r="A88" s="162"/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6" t="s">
        <v>1163</v>
      </c>
      <c r="V88" s="165">
        <f t="shared" ref="V88:Y88" si="69">V1428</f>
        <v>2100000000</v>
      </c>
      <c r="W88" s="350">
        <f t="shared" si="69"/>
        <v>2627641006.0699997</v>
      </c>
      <c r="X88" s="165">
        <f t="shared" si="69"/>
        <v>1159041006.0699999</v>
      </c>
      <c r="Y88" s="165">
        <f t="shared" si="69"/>
        <v>1624041006.0699999</v>
      </c>
    </row>
    <row r="89" spans="1:25" ht="15.75" customHeight="1">
      <c r="A89" s="162"/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6" t="s">
        <v>1164</v>
      </c>
      <c r="V89" s="165">
        <f t="shared" ref="V89:Y89" si="70">V1447</f>
        <v>1870000</v>
      </c>
      <c r="W89" s="165">
        <f t="shared" si="70"/>
        <v>0</v>
      </c>
      <c r="X89" s="165">
        <f t="shared" si="70"/>
        <v>5000000</v>
      </c>
      <c r="Y89" s="165">
        <f t="shared" si="70"/>
        <v>6000000</v>
      </c>
    </row>
    <row r="90" spans="1:25" ht="15.75" customHeight="1">
      <c r="A90" s="162"/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6" t="s">
        <v>1165</v>
      </c>
      <c r="V90" s="165">
        <f t="shared" ref="V90:Y90" si="71">V1467</f>
        <v>47748550</v>
      </c>
      <c r="W90" s="165">
        <f t="shared" si="71"/>
        <v>87775000</v>
      </c>
      <c r="X90" s="165">
        <f t="shared" si="71"/>
        <v>70425000</v>
      </c>
      <c r="Y90" s="165">
        <f t="shared" si="71"/>
        <v>0</v>
      </c>
    </row>
    <row r="91" spans="1:25" ht="15.75" customHeight="1">
      <c r="A91" s="162"/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6" t="s">
        <v>1166</v>
      </c>
      <c r="V91" s="165">
        <f t="shared" ref="V91:Y91" si="72">V1511</f>
        <v>131078000</v>
      </c>
      <c r="W91" s="350">
        <f t="shared" si="72"/>
        <v>347990064.25</v>
      </c>
      <c r="X91" s="165">
        <f t="shared" si="72"/>
        <v>271297354.66999996</v>
      </c>
      <c r="Y91" s="165">
        <f t="shared" si="72"/>
        <v>292231914.50999999</v>
      </c>
    </row>
    <row r="92" spans="1:25" ht="15.75" customHeight="1">
      <c r="A92" s="162"/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6" t="s">
        <v>1167</v>
      </c>
      <c r="V92" s="165">
        <f t="shared" ref="V92:Y92" si="73">V1525</f>
        <v>5670600745.5</v>
      </c>
      <c r="W92" s="350">
        <f t="shared" si="73"/>
        <v>4800802500</v>
      </c>
      <c r="X92" s="165">
        <f t="shared" si="73"/>
        <v>6063823467.5</v>
      </c>
      <c r="Y92" s="165">
        <f t="shared" si="73"/>
        <v>6063823467.5</v>
      </c>
    </row>
    <row r="93" spans="1:25" ht="15.75" customHeight="1">
      <c r="A93" s="162"/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6" t="s">
        <v>1168</v>
      </c>
      <c r="V93" s="165">
        <f t="shared" ref="V93:Y93" si="74">V1545</f>
        <v>317752306.27999997</v>
      </c>
      <c r="W93" s="165">
        <f t="shared" si="74"/>
        <v>506000000</v>
      </c>
      <c r="X93" s="165">
        <f t="shared" si="74"/>
        <v>256000000</v>
      </c>
      <c r="Y93" s="165">
        <f t="shared" si="74"/>
        <v>256000000</v>
      </c>
    </row>
    <row r="94" spans="1:25" ht="15.75" customHeight="1">
      <c r="A94" s="162"/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6" t="s">
        <v>1169</v>
      </c>
      <c r="V94" s="165">
        <f t="shared" ref="V94:Y94" si="75">V1550</f>
        <v>1100000000</v>
      </c>
      <c r="W94" s="165">
        <f t="shared" si="75"/>
        <v>1013002200</v>
      </c>
      <c r="X94" s="165">
        <f t="shared" si="75"/>
        <v>100000000</v>
      </c>
      <c r="Y94" s="165">
        <f t="shared" si="75"/>
        <v>100000000</v>
      </c>
    </row>
    <row r="95" spans="1:25" ht="15.75" customHeight="1">
      <c r="A95" s="162"/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6" t="s">
        <v>1170</v>
      </c>
      <c r="V95" s="165">
        <f t="shared" ref="V95:Y95" si="76">V1564</f>
        <v>94000000</v>
      </c>
      <c r="W95" s="165">
        <f t="shared" si="76"/>
        <v>92550002</v>
      </c>
      <c r="X95" s="165">
        <f t="shared" si="76"/>
        <v>209550000</v>
      </c>
      <c r="Y95" s="165">
        <f t="shared" si="76"/>
        <v>230505000</v>
      </c>
    </row>
    <row r="96" spans="1:25" ht="15.75" customHeight="1">
      <c r="A96" s="162"/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6" t="s">
        <v>1171</v>
      </c>
      <c r="V96" s="165">
        <f t="shared" ref="V96:Y96" si="77">V1574</f>
        <v>0</v>
      </c>
      <c r="W96" s="165">
        <f t="shared" si="77"/>
        <v>21103000</v>
      </c>
      <c r="X96" s="165">
        <f t="shared" si="77"/>
        <v>0</v>
      </c>
      <c r="Y96" s="165">
        <f t="shared" si="77"/>
        <v>50000000</v>
      </c>
    </row>
    <row r="97" spans="1:25" ht="15.75" customHeight="1">
      <c r="A97" s="162"/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6" t="s">
        <v>1172</v>
      </c>
      <c r="V97" s="165">
        <f t="shared" ref="V97:Y97" si="78">V1611</f>
        <v>0</v>
      </c>
      <c r="W97" s="350">
        <f t="shared" si="78"/>
        <v>1349311500</v>
      </c>
      <c r="X97" s="165">
        <f t="shared" si="78"/>
        <v>1915000000</v>
      </c>
      <c r="Y97" s="165">
        <f t="shared" si="78"/>
        <v>1130000000</v>
      </c>
    </row>
    <row r="98" spans="1:25" ht="16.5" customHeight="1">
      <c r="A98" s="162"/>
      <c r="B98" s="163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6" t="s">
        <v>1173</v>
      </c>
      <c r="V98" s="165">
        <f t="shared" ref="V98:Y98" si="79">V1624</f>
        <v>0</v>
      </c>
      <c r="W98" s="165">
        <f t="shared" si="79"/>
        <v>238878802</v>
      </c>
      <c r="X98" s="165">
        <f t="shared" si="79"/>
        <v>316729400</v>
      </c>
      <c r="Y98" s="165">
        <f t="shared" si="79"/>
        <v>296185400</v>
      </c>
    </row>
    <row r="99" spans="1:25" ht="16.5" customHeight="1">
      <c r="A99" s="162"/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6" t="s">
        <v>1174</v>
      </c>
      <c r="V99" s="165">
        <f t="shared" ref="V99:Y99" si="80">V1636</f>
        <v>0</v>
      </c>
      <c r="W99" s="165">
        <f t="shared" si="80"/>
        <v>67376400</v>
      </c>
      <c r="X99" s="165">
        <f t="shared" si="80"/>
        <v>51585000</v>
      </c>
      <c r="Y99" s="165">
        <f t="shared" si="80"/>
        <v>32000000</v>
      </c>
    </row>
    <row r="100" spans="1:25" ht="16.5" customHeight="1">
      <c r="A100" s="162"/>
      <c r="B100" s="163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6" t="s">
        <v>1175</v>
      </c>
      <c r="V100" s="165">
        <f t="shared" ref="V100:Y100" si="81">V1646</f>
        <v>0</v>
      </c>
      <c r="W100" s="165">
        <f t="shared" si="81"/>
        <v>119000000</v>
      </c>
      <c r="X100" s="165">
        <f t="shared" si="81"/>
        <v>120000000</v>
      </c>
      <c r="Y100" s="165">
        <f t="shared" si="81"/>
        <v>150000000</v>
      </c>
    </row>
    <row r="101" spans="1:25" ht="16.5" customHeight="1">
      <c r="A101" s="162"/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6" t="s">
        <v>2623</v>
      </c>
      <c r="V101" s="165">
        <f>V1656</f>
        <v>0</v>
      </c>
      <c r="W101" s="165">
        <f t="shared" ref="W101:Y101" si="82">W1656</f>
        <v>71865000</v>
      </c>
      <c r="X101" s="165">
        <f t="shared" si="82"/>
        <v>0</v>
      </c>
      <c r="Y101" s="165">
        <f t="shared" si="82"/>
        <v>0</v>
      </c>
    </row>
    <row r="102" spans="1:25" ht="16.5" customHeight="1">
      <c r="A102" s="162"/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7" t="s">
        <v>1176</v>
      </c>
      <c r="V102" s="168">
        <f>SUM(V82:V101)</f>
        <v>16835644291.780001</v>
      </c>
      <c r="W102" s="168">
        <f t="shared" ref="W102:X102" si="83">SUM(W82:W101)</f>
        <v>17924941287.739998</v>
      </c>
      <c r="X102" s="168">
        <f t="shared" si="83"/>
        <v>12285690228.24</v>
      </c>
      <c r="Y102" s="168">
        <f t="shared" ref="Y102" si="84">SUM(Y82:Y100)</f>
        <v>10860786788.08</v>
      </c>
    </row>
    <row r="103" spans="1:25" ht="16.5" customHeight="1">
      <c r="A103" s="162"/>
      <c r="B103" s="163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9" t="s">
        <v>1119</v>
      </c>
      <c r="V103" s="165"/>
      <c r="W103" s="349"/>
      <c r="X103" s="165"/>
      <c r="Y103" s="165"/>
    </row>
    <row r="104" spans="1:25" ht="16.5" customHeight="1">
      <c r="A104" s="162"/>
      <c r="B104" s="163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6" t="s">
        <v>1177</v>
      </c>
      <c r="V104" s="165">
        <f t="shared" ref="V104:Y104" si="85">V1683</f>
        <v>1862502120</v>
      </c>
      <c r="W104" s="171">
        <f t="shared" si="85"/>
        <v>2508386000</v>
      </c>
      <c r="X104" s="165">
        <f t="shared" si="85"/>
        <v>1988736000</v>
      </c>
      <c r="Y104" s="165">
        <f t="shared" si="85"/>
        <v>1861148885</v>
      </c>
    </row>
    <row r="105" spans="1:25" ht="16.5" customHeight="1">
      <c r="A105" s="162"/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6" t="s">
        <v>1178</v>
      </c>
      <c r="V105" s="165">
        <f t="shared" ref="V105:Y105" si="86">V1711</f>
        <v>293440000</v>
      </c>
      <c r="W105" s="165">
        <f t="shared" si="86"/>
        <v>706587002</v>
      </c>
      <c r="X105" s="165">
        <f t="shared" si="86"/>
        <v>665553002</v>
      </c>
      <c r="Y105" s="165">
        <f t="shared" si="86"/>
        <v>656148002</v>
      </c>
    </row>
    <row r="106" spans="1:25" ht="16.5" customHeight="1">
      <c r="A106" s="162"/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7" t="s">
        <v>1179</v>
      </c>
      <c r="V106" s="168">
        <f t="shared" ref="V106:Y106" si="87">SUM(V104:V105)</f>
        <v>2155942120</v>
      </c>
      <c r="W106" s="168">
        <f t="shared" si="87"/>
        <v>3214973002</v>
      </c>
      <c r="X106" s="168">
        <f t="shared" si="87"/>
        <v>2654289002</v>
      </c>
      <c r="Y106" s="168">
        <f t="shared" si="87"/>
        <v>2517296887</v>
      </c>
    </row>
    <row r="107" spans="1:25" ht="16.5" customHeight="1">
      <c r="A107" s="162"/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9" t="s">
        <v>1180</v>
      </c>
      <c r="V107" s="165"/>
      <c r="W107" s="349"/>
      <c r="X107" s="165"/>
      <c r="Y107" s="165"/>
    </row>
    <row r="108" spans="1:25" ht="16.5" customHeight="1">
      <c r="A108" s="162"/>
      <c r="B108" s="163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6" t="s">
        <v>1181</v>
      </c>
      <c r="V108" s="165">
        <f t="shared" ref="V108:Y108" si="88">V1740</f>
        <v>119785000</v>
      </c>
      <c r="W108" s="165">
        <f t="shared" si="88"/>
        <v>247835850</v>
      </c>
      <c r="X108" s="165">
        <f t="shared" si="88"/>
        <v>163744850</v>
      </c>
      <c r="Y108" s="165">
        <f t="shared" si="88"/>
        <v>167644850</v>
      </c>
    </row>
    <row r="109" spans="1:25" ht="16.5" customHeight="1">
      <c r="A109" s="162"/>
      <c r="B109" s="163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6" t="s">
        <v>1182</v>
      </c>
      <c r="V109" s="165">
        <f t="shared" ref="V109:Y109" si="89">V1755</f>
        <v>311000000</v>
      </c>
      <c r="W109" s="165">
        <f t="shared" si="89"/>
        <v>328322750</v>
      </c>
      <c r="X109" s="165">
        <f t="shared" si="89"/>
        <v>229571750</v>
      </c>
      <c r="Y109" s="165">
        <f t="shared" si="89"/>
        <v>121539500</v>
      </c>
    </row>
    <row r="110" spans="1:25" ht="16.5" customHeight="1">
      <c r="A110" s="162"/>
      <c r="B110" s="163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6" t="s">
        <v>1183</v>
      </c>
      <c r="V110" s="165">
        <f t="shared" ref="V110:Y110" si="90">V1779</f>
        <v>64160000</v>
      </c>
      <c r="W110" s="165">
        <f t="shared" si="90"/>
        <v>263724000</v>
      </c>
      <c r="X110" s="165">
        <f t="shared" si="90"/>
        <v>36831000</v>
      </c>
      <c r="Y110" s="165">
        <f t="shared" si="90"/>
        <v>36831000</v>
      </c>
    </row>
    <row r="111" spans="1:25" ht="16.5" customHeight="1">
      <c r="A111" s="162"/>
      <c r="B111" s="163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6" t="s">
        <v>1184</v>
      </c>
      <c r="V111" s="165">
        <f t="shared" ref="V111:Y111" si="91">V1794</f>
        <v>64160000</v>
      </c>
      <c r="W111" s="165">
        <f t="shared" si="91"/>
        <v>236409500</v>
      </c>
      <c r="X111" s="165">
        <f t="shared" si="91"/>
        <v>35000000</v>
      </c>
      <c r="Y111" s="165">
        <f t="shared" si="91"/>
        <v>35000000</v>
      </c>
    </row>
    <row r="112" spans="1:25" ht="16.5" customHeight="1">
      <c r="A112" s="162"/>
      <c r="B112" s="163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6" t="s">
        <v>960</v>
      </c>
      <c r="V112" s="165">
        <f t="shared" ref="V112:Y112" si="92">V1810</f>
        <v>15000000</v>
      </c>
      <c r="W112" s="165">
        <f t="shared" si="92"/>
        <v>149552000</v>
      </c>
      <c r="X112" s="165">
        <f t="shared" si="92"/>
        <v>0</v>
      </c>
      <c r="Y112" s="165">
        <f t="shared" si="92"/>
        <v>0</v>
      </c>
    </row>
    <row r="113" spans="1:25" ht="16.5" customHeight="1">
      <c r="A113" s="162"/>
      <c r="B113" s="163"/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7" t="s">
        <v>1185</v>
      </c>
      <c r="V113" s="168">
        <f t="shared" ref="V113:Y113" si="93">SUM(V108:V112)</f>
        <v>574105000</v>
      </c>
      <c r="W113" s="168">
        <f t="shared" si="93"/>
        <v>1225844100</v>
      </c>
      <c r="X113" s="168">
        <f t="shared" si="93"/>
        <v>465147600</v>
      </c>
      <c r="Y113" s="168">
        <f t="shared" si="93"/>
        <v>361015350</v>
      </c>
    </row>
    <row r="114" spans="1:25" ht="16.5" customHeight="1">
      <c r="A114" s="162"/>
      <c r="B114" s="163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9" t="s">
        <v>1121</v>
      </c>
      <c r="V114" s="165"/>
      <c r="W114" s="349"/>
      <c r="X114" s="165"/>
      <c r="Y114" s="165"/>
    </row>
    <row r="115" spans="1:25" ht="16.5" customHeight="1">
      <c r="A115" s="162"/>
      <c r="B115" s="163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6" t="s">
        <v>1186</v>
      </c>
      <c r="V115" s="165">
        <f t="shared" ref="V115:Y115" si="94">V1826</f>
        <v>414200000.00800002</v>
      </c>
      <c r="W115" s="165">
        <f t="shared" si="94"/>
        <v>458320730</v>
      </c>
      <c r="X115" s="165">
        <f t="shared" si="94"/>
        <v>586236766.5</v>
      </c>
      <c r="Y115" s="165">
        <f t="shared" si="94"/>
        <v>614152803</v>
      </c>
    </row>
    <row r="116" spans="1:25" ht="16.5" customHeight="1">
      <c r="A116" s="162"/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7" t="s">
        <v>1187</v>
      </c>
      <c r="V116" s="168">
        <f t="shared" ref="V116:Y116" si="95">SUM(V115)</f>
        <v>414200000.00800002</v>
      </c>
      <c r="W116" s="350">
        <f t="shared" ref="W116" si="96">SUM(W115)</f>
        <v>458320730</v>
      </c>
      <c r="X116" s="168">
        <f t="shared" si="95"/>
        <v>586236766.5</v>
      </c>
      <c r="Y116" s="168">
        <f t="shared" si="95"/>
        <v>614152803</v>
      </c>
    </row>
    <row r="117" spans="1:25" ht="16.5" customHeight="1">
      <c r="A117" s="162"/>
      <c r="B117" s="163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7" t="s">
        <v>1122</v>
      </c>
      <c r="V117" s="168">
        <f t="shared" ref="V117:Y117" si="97">V116+V113+V106+V102</f>
        <v>19979891411.788002</v>
      </c>
      <c r="W117" s="168">
        <f t="shared" si="97"/>
        <v>22824079119.739998</v>
      </c>
      <c r="X117" s="168">
        <f t="shared" si="97"/>
        <v>15991363596.74</v>
      </c>
      <c r="Y117" s="168">
        <f t="shared" si="97"/>
        <v>14353251828.08</v>
      </c>
    </row>
    <row r="118" spans="1:25" ht="16.5" customHeight="1">
      <c r="A118" s="162"/>
      <c r="B118" s="163"/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7" t="s">
        <v>84</v>
      </c>
      <c r="V118" s="168">
        <f t="shared" ref="V118:Y118" si="98">V117+V78+V71+V42</f>
        <v>108272676649.57352</v>
      </c>
      <c r="W118" s="168">
        <f t="shared" si="98"/>
        <v>131455817381.14899</v>
      </c>
      <c r="X118" s="168">
        <f t="shared" si="98"/>
        <v>136541215860.85001</v>
      </c>
      <c r="Y118" s="168">
        <f t="shared" si="98"/>
        <v>126602353291.94</v>
      </c>
    </row>
    <row r="119" spans="1:25">
      <c r="T119" s="172"/>
      <c r="U119" s="173" t="s">
        <v>1107</v>
      </c>
      <c r="V119" s="174"/>
      <c r="W119" s="351"/>
      <c r="X119" s="174"/>
      <c r="Y119" s="174"/>
    </row>
    <row r="120" spans="1:25" ht="26.25">
      <c r="A120" s="175" t="s">
        <v>134</v>
      </c>
      <c r="B120" s="176"/>
      <c r="C120" s="176"/>
      <c r="D120" s="176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  <c r="R120" s="176"/>
      <c r="S120" s="176"/>
      <c r="T120" s="176"/>
      <c r="U120" s="176"/>
      <c r="V120" s="176"/>
      <c r="W120" s="352"/>
      <c r="X120" s="176"/>
      <c r="Y120" s="176"/>
    </row>
    <row r="121" spans="1:25" ht="38.25">
      <c r="A121" s="162"/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77" t="s">
        <v>2276</v>
      </c>
      <c r="V121" s="165">
        <v>2180000000</v>
      </c>
      <c r="W121" s="451">
        <v>1180000000</v>
      </c>
      <c r="X121" s="280">
        <v>1180000000</v>
      </c>
      <c r="Y121" s="165">
        <v>1180000000</v>
      </c>
    </row>
    <row r="122" spans="1:25">
      <c r="A122" s="162"/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77" t="s">
        <v>2277</v>
      </c>
      <c r="V122" s="165"/>
      <c r="W122" s="451">
        <v>50000000</v>
      </c>
      <c r="X122" s="280">
        <v>60000000</v>
      </c>
      <c r="Y122" s="165">
        <v>66000000</v>
      </c>
    </row>
    <row r="123" spans="1:25">
      <c r="A123" s="162"/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77" t="s">
        <v>1188</v>
      </c>
      <c r="V123" s="165"/>
      <c r="W123" s="451">
        <v>50000000</v>
      </c>
      <c r="X123" s="280">
        <v>60000000</v>
      </c>
      <c r="Y123" s="165">
        <v>66000000</v>
      </c>
    </row>
    <row r="124" spans="1:25" ht="25.5">
      <c r="A124" s="162"/>
      <c r="B124" s="163"/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77" t="s">
        <v>2278</v>
      </c>
      <c r="V124" s="165">
        <v>35025000</v>
      </c>
      <c r="W124" s="451">
        <v>33500000</v>
      </c>
      <c r="X124" s="280">
        <v>36850000</v>
      </c>
      <c r="Y124" s="165">
        <v>40535000</v>
      </c>
    </row>
    <row r="125" spans="1:25">
      <c r="A125" s="162"/>
      <c r="B125" s="163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77" t="s">
        <v>1189</v>
      </c>
      <c r="V125" s="165"/>
      <c r="W125" s="451">
        <v>0</v>
      </c>
      <c r="X125" s="280">
        <v>2499600</v>
      </c>
      <c r="Y125" s="165">
        <v>2499600</v>
      </c>
    </row>
    <row r="126" spans="1:25">
      <c r="A126" s="162"/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78" t="s">
        <v>1190</v>
      </c>
      <c r="V126" s="165">
        <v>200000000</v>
      </c>
      <c r="W126" s="451">
        <v>150000000</v>
      </c>
      <c r="X126" s="280">
        <v>220000000</v>
      </c>
      <c r="Y126" s="165">
        <v>222000000</v>
      </c>
    </row>
    <row r="127" spans="1:25">
      <c r="A127" s="162"/>
      <c r="B127" s="163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77" t="s">
        <v>2279</v>
      </c>
      <c r="V127" s="165">
        <v>22000000</v>
      </c>
      <c r="W127" s="451">
        <v>49920000</v>
      </c>
      <c r="X127" s="280">
        <v>54912000</v>
      </c>
      <c r="Y127" s="165">
        <v>60403200</v>
      </c>
    </row>
    <row r="128" spans="1:25" ht="25.5">
      <c r="A128" s="162"/>
      <c r="B128" s="163"/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78" t="s">
        <v>2280</v>
      </c>
      <c r="V128" s="165"/>
      <c r="W128" s="451">
        <v>35000000</v>
      </c>
      <c r="X128" s="280">
        <v>44825000</v>
      </c>
      <c r="Y128" s="165">
        <v>49307500</v>
      </c>
    </row>
    <row r="129" spans="1:25">
      <c r="A129" s="162"/>
      <c r="B129" s="163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78" t="s">
        <v>1191</v>
      </c>
      <c r="V129" s="165">
        <v>1392000</v>
      </c>
      <c r="W129" s="451">
        <v>30000000</v>
      </c>
      <c r="X129" s="280">
        <v>36850000</v>
      </c>
      <c r="Y129" s="165">
        <v>40535000</v>
      </c>
    </row>
    <row r="130" spans="1:25" ht="25.5">
      <c r="A130" s="162"/>
      <c r="B130" s="163"/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78" t="s">
        <v>1192</v>
      </c>
      <c r="V130" s="165"/>
      <c r="W130" s="451">
        <v>10000000</v>
      </c>
      <c r="X130" s="280">
        <v>8000000</v>
      </c>
      <c r="Y130" s="165">
        <v>8800000</v>
      </c>
    </row>
    <row r="131" spans="1:25">
      <c r="A131" s="162"/>
      <c r="B131" s="163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78" t="s">
        <v>2281</v>
      </c>
      <c r="V131" s="165"/>
      <c r="W131" s="451">
        <v>20000000</v>
      </c>
      <c r="X131" s="280">
        <v>2200000</v>
      </c>
      <c r="Y131" s="165">
        <v>2220000</v>
      </c>
    </row>
    <row r="132" spans="1:25">
      <c r="A132" s="162"/>
      <c r="B132" s="163"/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78" t="s">
        <v>1193</v>
      </c>
      <c r="V132" s="165"/>
      <c r="W132" s="451">
        <v>0</v>
      </c>
      <c r="X132" s="280">
        <v>9450000</v>
      </c>
      <c r="Y132" s="165">
        <v>10395000</v>
      </c>
    </row>
    <row r="133" spans="1:25" ht="25.5">
      <c r="A133" s="162"/>
      <c r="B133" s="163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78" t="s">
        <v>1194</v>
      </c>
      <c r="V133" s="165"/>
      <c r="W133" s="451">
        <v>70950000</v>
      </c>
      <c r="X133" s="280">
        <v>78950000</v>
      </c>
      <c r="Y133" s="165">
        <v>87950000</v>
      </c>
    </row>
    <row r="134" spans="1:25" ht="26.25">
      <c r="A134" s="162"/>
      <c r="B134" s="163"/>
      <c r="C134" s="163"/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78" t="s">
        <v>2282</v>
      </c>
      <c r="V134" s="165"/>
      <c r="W134" s="451">
        <v>15165000</v>
      </c>
      <c r="X134" s="281">
        <v>15165000</v>
      </c>
      <c r="Y134" s="152">
        <v>16681500</v>
      </c>
    </row>
    <row r="135" spans="1:25" ht="25.5">
      <c r="A135" s="162"/>
      <c r="B135" s="163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78" t="s">
        <v>2283</v>
      </c>
      <c r="V135" s="165"/>
      <c r="W135" s="451">
        <v>60000000</v>
      </c>
      <c r="X135" s="280">
        <v>66000000</v>
      </c>
      <c r="Y135" s="165">
        <v>66600000</v>
      </c>
    </row>
    <row r="136" spans="1:25" ht="25.5">
      <c r="A136" s="162"/>
      <c r="B136" s="163"/>
      <c r="C136" s="163"/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78" t="s">
        <v>1195</v>
      </c>
      <c r="V136" s="165">
        <v>14620000</v>
      </c>
      <c r="W136" s="451">
        <v>100000000</v>
      </c>
      <c r="X136" s="280">
        <v>110000000</v>
      </c>
      <c r="Y136" s="165">
        <v>121000000</v>
      </c>
    </row>
    <row r="137" spans="1:25" ht="25.5">
      <c r="A137" s="162"/>
      <c r="B137" s="163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78" t="s">
        <v>2284</v>
      </c>
      <c r="V137" s="165">
        <v>172517517.59999999</v>
      </c>
      <c r="W137" s="451">
        <v>149999411.71000001</v>
      </c>
      <c r="X137" s="280">
        <v>139964411.71000001</v>
      </c>
      <c r="Y137" s="165">
        <v>153960852.88</v>
      </c>
    </row>
    <row r="138" spans="1:25">
      <c r="A138" s="162"/>
      <c r="B138" s="163"/>
      <c r="C138" s="163"/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78" t="s">
        <v>1196</v>
      </c>
      <c r="V138" s="165"/>
      <c r="W138" s="451">
        <v>24349000</v>
      </c>
      <c r="X138" s="280">
        <v>29462290</v>
      </c>
      <c r="Y138" s="165">
        <v>32408519</v>
      </c>
    </row>
    <row r="139" spans="1:25" ht="25.5">
      <c r="A139" s="162"/>
      <c r="B139" s="163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78" t="s">
        <v>2285</v>
      </c>
      <c r="V139" s="165"/>
      <c r="W139" s="451">
        <v>6500000</v>
      </c>
      <c r="X139" s="280">
        <v>7150000</v>
      </c>
      <c r="Y139" s="165">
        <v>7865000</v>
      </c>
    </row>
    <row r="140" spans="1:25">
      <c r="A140" s="162"/>
      <c r="B140" s="163"/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78" t="s">
        <v>1197</v>
      </c>
      <c r="V140" s="165"/>
      <c r="W140" s="451">
        <v>5000000</v>
      </c>
      <c r="X140" s="280">
        <v>4900000</v>
      </c>
      <c r="Y140" s="165"/>
    </row>
    <row r="141" spans="1:25">
      <c r="A141" s="162"/>
      <c r="B141" s="163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78" t="s">
        <v>2185</v>
      </c>
      <c r="V141" s="165"/>
      <c r="W141" s="451">
        <v>0</v>
      </c>
      <c r="X141" s="280">
        <v>56997500</v>
      </c>
      <c r="Y141" s="165">
        <v>62697250</v>
      </c>
    </row>
    <row r="142" spans="1:25">
      <c r="A142" s="162"/>
      <c r="B142" s="163"/>
      <c r="C142" s="163"/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78" t="s">
        <v>2286</v>
      </c>
      <c r="V142" s="165">
        <v>4150000</v>
      </c>
      <c r="W142" s="451">
        <v>20000000</v>
      </c>
      <c r="X142" s="280">
        <v>22000000</v>
      </c>
      <c r="Y142" s="165">
        <v>22200000</v>
      </c>
    </row>
    <row r="143" spans="1:25">
      <c r="A143" s="162"/>
      <c r="B143" s="163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78" t="s">
        <v>1198</v>
      </c>
      <c r="V143" s="165"/>
      <c r="W143" s="451">
        <v>34622000</v>
      </c>
      <c r="X143" s="280">
        <v>38622000</v>
      </c>
      <c r="Y143" s="165">
        <v>42484200</v>
      </c>
    </row>
    <row r="144" spans="1:25" ht="25.5">
      <c r="A144" s="162"/>
      <c r="B144" s="163"/>
      <c r="C144" s="163"/>
      <c r="D144" s="163"/>
      <c r="E144" s="163"/>
      <c r="F144" s="163"/>
      <c r="G144" s="163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78" t="s">
        <v>2186</v>
      </c>
      <c r="V144" s="165"/>
      <c r="W144" s="451">
        <v>14939000</v>
      </c>
      <c r="X144" s="280">
        <v>14939000</v>
      </c>
      <c r="Y144" s="165"/>
    </row>
    <row r="145" spans="1:25">
      <c r="A145" s="162"/>
      <c r="B145" s="163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78" t="s">
        <v>1199</v>
      </c>
      <c r="V145" s="165"/>
      <c r="W145" s="451">
        <v>93208000</v>
      </c>
      <c r="X145" s="280">
        <v>113300000</v>
      </c>
      <c r="Y145" s="165">
        <v>124630000</v>
      </c>
    </row>
    <row r="146" spans="1:25" ht="25.5">
      <c r="A146" s="162"/>
      <c r="B146" s="163"/>
      <c r="C146" s="163"/>
      <c r="D146" s="163"/>
      <c r="E146" s="163"/>
      <c r="F146" s="163"/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78" t="s">
        <v>2287</v>
      </c>
      <c r="V146" s="165"/>
      <c r="W146" s="451">
        <v>50000000</v>
      </c>
      <c r="X146" s="280">
        <v>55000000</v>
      </c>
      <c r="Y146" s="165">
        <v>60500000</v>
      </c>
    </row>
    <row r="147" spans="1:25">
      <c r="A147" s="162"/>
      <c r="B147" s="163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78" t="s">
        <v>2288</v>
      </c>
      <c r="V147" s="165"/>
      <c r="W147" s="451">
        <v>0</v>
      </c>
      <c r="X147" s="280">
        <v>30000000</v>
      </c>
      <c r="Y147" s="165">
        <v>33000000</v>
      </c>
    </row>
    <row r="148" spans="1:25" ht="25.5">
      <c r="A148" s="162"/>
      <c r="B148" s="163"/>
      <c r="C148" s="163"/>
      <c r="D148" s="163"/>
      <c r="E148" s="163"/>
      <c r="F148" s="163"/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78" t="s">
        <v>1200</v>
      </c>
      <c r="V148" s="165"/>
      <c r="W148" s="451">
        <v>5360000</v>
      </c>
      <c r="X148" s="280">
        <v>5360000</v>
      </c>
      <c r="Y148" s="165">
        <v>5360000</v>
      </c>
    </row>
    <row r="149" spans="1:25">
      <c r="A149" s="162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80"/>
      <c r="T149" s="179"/>
      <c r="U149" s="166" t="s">
        <v>2289</v>
      </c>
      <c r="V149" s="165">
        <v>1000000</v>
      </c>
      <c r="W149" s="451">
        <v>0</v>
      </c>
      <c r="X149" s="280"/>
      <c r="Y149" s="165"/>
    </row>
    <row r="150" spans="1:25" ht="25.5">
      <c r="A150" s="162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80"/>
      <c r="T150" s="179"/>
      <c r="U150" s="166" t="s">
        <v>1201</v>
      </c>
      <c r="V150" s="165">
        <v>20000000</v>
      </c>
      <c r="W150" s="451">
        <v>0</v>
      </c>
      <c r="X150" s="280"/>
      <c r="Y150" s="165"/>
    </row>
    <row r="151" spans="1:25">
      <c r="A151" s="162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80"/>
      <c r="T151" s="179"/>
      <c r="U151" s="166" t="s">
        <v>1202</v>
      </c>
      <c r="V151" s="165">
        <v>7815200</v>
      </c>
      <c r="W151" s="451">
        <v>0</v>
      </c>
      <c r="X151" s="280"/>
      <c r="Y151" s="165"/>
    </row>
    <row r="152" spans="1:25">
      <c r="A152" s="162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80"/>
      <c r="T152" s="179"/>
      <c r="U152" s="166" t="s">
        <v>1203</v>
      </c>
      <c r="V152" s="165">
        <v>8830000</v>
      </c>
      <c r="W152" s="451">
        <v>0</v>
      </c>
      <c r="X152" s="280"/>
      <c r="Y152" s="165"/>
    </row>
    <row r="153" spans="1:25">
      <c r="A153" s="162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80"/>
      <c r="T153" s="179"/>
      <c r="U153" s="166" t="s">
        <v>1204</v>
      </c>
      <c r="V153" s="165">
        <v>16048950</v>
      </c>
      <c r="W153" s="451">
        <v>0</v>
      </c>
      <c r="X153" s="280"/>
      <c r="Y153" s="165"/>
    </row>
    <row r="154" spans="1:25">
      <c r="A154" s="162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80"/>
      <c r="T154" s="179"/>
      <c r="U154" s="166" t="s">
        <v>1205</v>
      </c>
      <c r="V154" s="165">
        <v>405000</v>
      </c>
      <c r="W154" s="451">
        <v>0</v>
      </c>
      <c r="X154" s="280"/>
      <c r="Y154" s="165"/>
    </row>
    <row r="155" spans="1:25">
      <c r="A155" s="162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  <c r="S155" s="180"/>
      <c r="T155" s="179"/>
      <c r="U155" s="166" t="s">
        <v>1206</v>
      </c>
      <c r="V155" s="165">
        <v>6191000</v>
      </c>
      <c r="W155" s="451">
        <v>0</v>
      </c>
      <c r="X155" s="280"/>
      <c r="Y155" s="165"/>
    </row>
    <row r="156" spans="1:25">
      <c r="A156" s="162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  <c r="S156" s="180"/>
      <c r="T156" s="179"/>
      <c r="U156" s="166" t="s">
        <v>1207</v>
      </c>
      <c r="V156" s="165">
        <v>406200000</v>
      </c>
      <c r="W156" s="451">
        <v>106200000</v>
      </c>
      <c r="X156" s="165">
        <v>406200000</v>
      </c>
      <c r="Y156" s="165">
        <v>406200000</v>
      </c>
    </row>
    <row r="157" spans="1:25">
      <c r="A157" s="162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80"/>
      <c r="T157" s="179"/>
      <c r="U157" s="166" t="s">
        <v>1208</v>
      </c>
      <c r="V157" s="165">
        <v>7912000</v>
      </c>
      <c r="W157" s="451">
        <v>0</v>
      </c>
      <c r="X157" s="280"/>
      <c r="Y157" s="165"/>
    </row>
    <row r="158" spans="1:25">
      <c r="A158" s="162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  <c r="S158" s="180"/>
      <c r="T158" s="179"/>
      <c r="U158" s="166" t="s">
        <v>1209</v>
      </c>
      <c r="V158" s="165">
        <v>20825000</v>
      </c>
      <c r="W158" s="451">
        <v>0</v>
      </c>
      <c r="X158" s="280"/>
      <c r="Y158" s="165"/>
    </row>
    <row r="159" spans="1:25">
      <c r="A159" s="162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  <c r="S159" s="180"/>
      <c r="T159" s="179"/>
      <c r="U159" s="166" t="s">
        <v>1210</v>
      </c>
      <c r="V159" s="165">
        <v>2715000</v>
      </c>
      <c r="W159" s="451">
        <v>0</v>
      </c>
      <c r="X159" s="280"/>
      <c r="Y159" s="165"/>
    </row>
    <row r="160" spans="1:25">
      <c r="A160" s="162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  <c r="S160" s="180"/>
      <c r="T160" s="179"/>
      <c r="U160" s="166" t="s">
        <v>1211</v>
      </c>
      <c r="V160" s="165">
        <v>1258600</v>
      </c>
      <c r="W160" s="451">
        <v>0</v>
      </c>
      <c r="X160" s="280"/>
      <c r="Y160" s="165"/>
    </row>
    <row r="161" spans="1:25">
      <c r="A161" s="162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  <c r="L161" s="179"/>
      <c r="M161" s="179"/>
      <c r="N161" s="179"/>
      <c r="O161" s="179"/>
      <c r="P161" s="179"/>
      <c r="Q161" s="179"/>
      <c r="R161" s="179"/>
      <c r="S161" s="180"/>
      <c r="T161" s="179"/>
      <c r="U161" s="166" t="s">
        <v>1212</v>
      </c>
      <c r="V161" s="165">
        <v>30080000</v>
      </c>
      <c r="W161" s="451">
        <v>0</v>
      </c>
      <c r="X161" s="280"/>
      <c r="Y161" s="165"/>
    </row>
    <row r="162" spans="1:25">
      <c r="A162" s="162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  <c r="O162" s="179"/>
      <c r="P162" s="179"/>
      <c r="Q162" s="179"/>
      <c r="R162" s="179"/>
      <c r="S162" s="180"/>
      <c r="T162" s="179"/>
      <c r="U162" s="166" t="s">
        <v>1213</v>
      </c>
      <c r="V162" s="165">
        <v>250000000</v>
      </c>
      <c r="W162" s="451">
        <v>200000000</v>
      </c>
      <c r="X162" s="280"/>
      <c r="Y162" s="165"/>
    </row>
    <row r="163" spans="1:25">
      <c r="A163" s="162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  <c r="L163" s="179"/>
      <c r="M163" s="179"/>
      <c r="N163" s="179"/>
      <c r="O163" s="179"/>
      <c r="P163" s="179"/>
      <c r="Q163" s="179"/>
      <c r="R163" s="179"/>
      <c r="S163" s="180"/>
      <c r="T163" s="179"/>
      <c r="U163" s="166" t="s">
        <v>1214</v>
      </c>
      <c r="V163" s="165">
        <v>5340000</v>
      </c>
      <c r="W163" s="451">
        <v>0</v>
      </c>
      <c r="X163" s="280"/>
      <c r="Y163" s="165"/>
    </row>
    <row r="164" spans="1:25">
      <c r="A164" s="162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  <c r="L164" s="179"/>
      <c r="M164" s="179"/>
      <c r="N164" s="179"/>
      <c r="O164" s="179"/>
      <c r="P164" s="179"/>
      <c r="Q164" s="179"/>
      <c r="R164" s="179"/>
      <c r="S164" s="180"/>
      <c r="T164" s="179"/>
      <c r="U164" s="166" t="s">
        <v>1215</v>
      </c>
      <c r="V164" s="165">
        <v>26071480</v>
      </c>
      <c r="W164" s="451">
        <v>0</v>
      </c>
      <c r="X164" s="280"/>
      <c r="Y164" s="165"/>
    </row>
    <row r="165" spans="1:25">
      <c r="A165" s="162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  <c r="L165" s="179"/>
      <c r="M165" s="179"/>
      <c r="N165" s="179"/>
      <c r="O165" s="179"/>
      <c r="P165" s="179"/>
      <c r="Q165" s="179"/>
      <c r="R165" s="179"/>
      <c r="S165" s="180"/>
      <c r="T165" s="179"/>
      <c r="U165" s="166" t="s">
        <v>1216</v>
      </c>
      <c r="V165" s="165">
        <v>500000000</v>
      </c>
      <c r="W165" s="451">
        <v>250000000</v>
      </c>
      <c r="X165" s="280">
        <v>1100000000</v>
      </c>
      <c r="Y165" s="165">
        <v>1210000000</v>
      </c>
    </row>
    <row r="166" spans="1:25">
      <c r="A166" s="162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  <c r="L166" s="179"/>
      <c r="M166" s="179"/>
      <c r="N166" s="179"/>
      <c r="O166" s="179"/>
      <c r="P166" s="179"/>
      <c r="Q166" s="179"/>
      <c r="R166" s="179"/>
      <c r="S166" s="180"/>
      <c r="T166" s="179"/>
      <c r="U166" s="166" t="s">
        <v>1217</v>
      </c>
      <c r="V166" s="165">
        <v>125000000</v>
      </c>
      <c r="W166" s="451">
        <v>200000000</v>
      </c>
      <c r="X166" s="163"/>
      <c r="Y166" s="163"/>
    </row>
    <row r="167" spans="1:25">
      <c r="A167" s="162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  <c r="L167" s="179"/>
      <c r="M167" s="179"/>
      <c r="N167" s="179"/>
      <c r="O167" s="179"/>
      <c r="P167" s="179"/>
      <c r="Q167" s="179"/>
      <c r="R167" s="179"/>
      <c r="S167" s="180"/>
      <c r="T167" s="179"/>
      <c r="U167" s="166" t="s">
        <v>2094</v>
      </c>
      <c r="V167" s="165"/>
      <c r="W167" s="451">
        <v>0</v>
      </c>
      <c r="X167" s="165">
        <v>47500000</v>
      </c>
      <c r="Y167" s="165">
        <v>47500000</v>
      </c>
    </row>
    <row r="168" spans="1:25">
      <c r="A168" s="162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  <c r="L168" s="179"/>
      <c r="M168" s="179"/>
      <c r="N168" s="179"/>
      <c r="O168" s="179"/>
      <c r="P168" s="179"/>
      <c r="Q168" s="179"/>
      <c r="R168" s="179"/>
      <c r="S168" s="180"/>
      <c r="T168" s="179"/>
      <c r="U168" s="166" t="s">
        <v>2290</v>
      </c>
      <c r="V168" s="165"/>
      <c r="W168" s="451">
        <v>0</v>
      </c>
      <c r="X168" s="165">
        <v>188000000</v>
      </c>
      <c r="Y168" s="165">
        <v>313000000</v>
      </c>
    </row>
    <row r="169" spans="1:25" ht="25.5">
      <c r="A169" s="162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  <c r="L169" s="179"/>
      <c r="M169" s="179"/>
      <c r="N169" s="179"/>
      <c r="O169" s="179"/>
      <c r="P169" s="179"/>
      <c r="Q169" s="179"/>
      <c r="R169" s="179"/>
      <c r="S169" s="180"/>
      <c r="T169" s="179"/>
      <c r="U169" s="166" t="s">
        <v>2291</v>
      </c>
      <c r="V169" s="165"/>
      <c r="W169" s="451">
        <v>0</v>
      </c>
      <c r="X169" s="165">
        <v>70000000</v>
      </c>
      <c r="Y169" s="165">
        <v>77000000</v>
      </c>
    </row>
    <row r="170" spans="1:25">
      <c r="A170" s="162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  <c r="L170" s="179"/>
      <c r="M170" s="179"/>
      <c r="N170" s="179"/>
      <c r="O170" s="179"/>
      <c r="P170" s="179"/>
      <c r="Q170" s="179"/>
      <c r="R170" s="179"/>
      <c r="S170" s="180"/>
      <c r="T170" s="179"/>
      <c r="U170" s="166" t="s">
        <v>2184</v>
      </c>
      <c r="V170" s="165"/>
      <c r="W170" s="451">
        <v>100000000</v>
      </c>
      <c r="X170" s="165">
        <v>120000000</v>
      </c>
      <c r="Y170" s="165">
        <v>132000000</v>
      </c>
    </row>
    <row r="171" spans="1:25" s="184" customFormat="1">
      <c r="A171" s="181"/>
      <c r="B171" s="182"/>
      <c r="C171" s="182"/>
      <c r="D171" s="182"/>
      <c r="E171" s="182"/>
      <c r="F171" s="182"/>
      <c r="G171" s="182"/>
      <c r="H171" s="182"/>
      <c r="I171" s="182"/>
      <c r="J171" s="182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3"/>
      <c r="V171" s="168">
        <f>SUM(V121:V170)</f>
        <v>4065396747.5999999</v>
      </c>
      <c r="W171" s="334">
        <f t="shared" ref="W171:Y171" si="99">SUM(W121:W170)</f>
        <v>3114712411.71</v>
      </c>
      <c r="X171" s="168">
        <f t="shared" si="99"/>
        <v>4435096801.71</v>
      </c>
      <c r="Y171" s="168">
        <f t="shared" si="99"/>
        <v>4771732621.8800001</v>
      </c>
    </row>
    <row r="173" spans="1:25">
      <c r="U173" s="185" t="s">
        <v>1218</v>
      </c>
    </row>
    <row r="174" spans="1:25">
      <c r="U174" s="185" t="s">
        <v>2170</v>
      </c>
    </row>
    <row r="175" spans="1:25">
      <c r="U175" s="144" t="s">
        <v>1219</v>
      </c>
      <c r="V175" s="145">
        <v>1000000000</v>
      </c>
    </row>
    <row r="176" spans="1:25">
      <c r="U176" s="144" t="s">
        <v>1220</v>
      </c>
      <c r="V176" s="145">
        <v>180000000</v>
      </c>
    </row>
    <row r="177" spans="1:25" ht="13.5" thickBot="1">
      <c r="V177" s="354">
        <f>SUM(V175:V176)</f>
        <v>1180000000</v>
      </c>
    </row>
    <row r="179" spans="1:25">
      <c r="U179" s="185" t="s">
        <v>2077</v>
      </c>
      <c r="V179" s="145">
        <v>125000000</v>
      </c>
    </row>
    <row r="180" spans="1:25">
      <c r="U180" s="144" t="s">
        <v>1220</v>
      </c>
      <c r="V180" s="145">
        <v>125000000</v>
      </c>
    </row>
    <row r="181" spans="1:25" s="184" customFormat="1">
      <c r="A181" s="204"/>
      <c r="U181" s="185"/>
      <c r="V181" s="262">
        <f>SUM(V179:V180)</f>
        <v>250000000</v>
      </c>
      <c r="W181" s="355"/>
      <c r="X181" s="262"/>
      <c r="Y181" s="262"/>
    </row>
    <row r="182" spans="1:25" s="184" customFormat="1">
      <c r="A182" s="204"/>
      <c r="U182" s="185"/>
      <c r="V182" s="262"/>
      <c r="W182" s="355"/>
      <c r="X182" s="262"/>
      <c r="Y182" s="262"/>
    </row>
    <row r="183" spans="1:25" ht="15">
      <c r="U183" s="442" t="s">
        <v>2181</v>
      </c>
      <c r="V183" s="262">
        <v>2584712411.71</v>
      </c>
    </row>
    <row r="186" spans="1:25" ht="26.25">
      <c r="A186" s="175" t="s">
        <v>2078</v>
      </c>
      <c r="B186" s="186"/>
      <c r="C186" s="186"/>
      <c r="D186" s="186"/>
      <c r="E186" s="186"/>
      <c r="F186" s="186"/>
      <c r="G186" s="186"/>
      <c r="H186" s="186"/>
      <c r="I186" s="186"/>
      <c r="J186" s="186"/>
      <c r="K186" s="186"/>
      <c r="L186" s="186"/>
      <c r="M186" s="186"/>
      <c r="N186" s="186"/>
      <c r="O186" s="186"/>
      <c r="P186" s="186"/>
      <c r="Q186" s="186"/>
      <c r="R186" s="186"/>
      <c r="S186" s="186"/>
      <c r="T186" s="186"/>
      <c r="U186" s="175"/>
      <c r="V186" s="175"/>
      <c r="W186" s="188"/>
      <c r="X186" s="175"/>
      <c r="Y186" s="175"/>
    </row>
    <row r="187" spans="1:25">
      <c r="A187" s="162"/>
      <c r="B187" s="163"/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78" t="s">
        <v>1221</v>
      </c>
      <c r="V187" s="165">
        <v>500000000</v>
      </c>
      <c r="W187" s="451">
        <v>250000000</v>
      </c>
      <c r="X187" s="165">
        <v>275000000</v>
      </c>
      <c r="Y187" s="165">
        <v>302500000</v>
      </c>
    </row>
    <row r="188" spans="1:25">
      <c r="A188" s="162"/>
      <c r="B188" s="163"/>
      <c r="C188" s="163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163"/>
      <c r="U188" s="178" t="s">
        <v>1222</v>
      </c>
      <c r="V188" s="165"/>
      <c r="W188" s="451">
        <v>58547800</v>
      </c>
      <c r="X188" s="165">
        <v>64402580</v>
      </c>
      <c r="Y188" s="165">
        <v>70842838</v>
      </c>
    </row>
    <row r="189" spans="1:25" ht="25.5">
      <c r="A189" s="162"/>
      <c r="B189" s="163"/>
      <c r="C189" s="163"/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  <c r="T189" s="163"/>
      <c r="U189" s="178" t="s">
        <v>1223</v>
      </c>
      <c r="V189" s="165">
        <v>15167500</v>
      </c>
      <c r="W189" s="451">
        <v>59619250</v>
      </c>
      <c r="X189" s="165">
        <v>59619250</v>
      </c>
      <c r="Y189" s="165">
        <v>65581175</v>
      </c>
    </row>
    <row r="190" spans="1:25">
      <c r="A190" s="162"/>
      <c r="B190" s="163"/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  <c r="T190" s="163"/>
      <c r="U190" s="178" t="s">
        <v>1224</v>
      </c>
      <c r="V190" s="165"/>
      <c r="W190" s="451">
        <v>78453850</v>
      </c>
      <c r="X190" s="165">
        <v>78453850</v>
      </c>
      <c r="Y190" s="165">
        <v>78453850</v>
      </c>
    </row>
    <row r="191" spans="1:25" ht="25.5">
      <c r="A191" s="162"/>
      <c r="B191" s="163"/>
      <c r="C191" s="163"/>
      <c r="D191" s="163"/>
      <c r="E191" s="163"/>
      <c r="F191" s="163"/>
      <c r="G191" s="163"/>
      <c r="H191" s="163"/>
      <c r="I191" s="163"/>
      <c r="J191" s="163"/>
      <c r="K191" s="163"/>
      <c r="L191" s="163"/>
      <c r="M191" s="163"/>
      <c r="N191" s="163"/>
      <c r="O191" s="163"/>
      <c r="P191" s="163"/>
      <c r="Q191" s="163"/>
      <c r="R191" s="163"/>
      <c r="S191" s="163"/>
      <c r="T191" s="163"/>
      <c r="U191" s="178" t="s">
        <v>2292</v>
      </c>
      <c r="V191" s="165"/>
      <c r="W191" s="451">
        <v>0</v>
      </c>
      <c r="X191" s="165">
        <v>500000000</v>
      </c>
      <c r="Y191" s="165">
        <v>807000000</v>
      </c>
    </row>
    <row r="192" spans="1:25">
      <c r="A192" s="162"/>
      <c r="B192" s="163"/>
      <c r="C192" s="163"/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63"/>
      <c r="Q192" s="163"/>
      <c r="R192" s="163"/>
      <c r="S192" s="163"/>
      <c r="T192" s="163"/>
      <c r="U192" s="178" t="s">
        <v>2293</v>
      </c>
      <c r="V192" s="165"/>
      <c r="W192" s="451">
        <v>0</v>
      </c>
      <c r="X192" s="165">
        <v>75000000</v>
      </c>
      <c r="Y192" s="165">
        <v>82500000</v>
      </c>
    </row>
    <row r="193" spans="1:25">
      <c r="A193" s="162"/>
      <c r="B193" s="163"/>
      <c r="C193" s="163"/>
      <c r="D193" s="163"/>
      <c r="E193" s="163"/>
      <c r="F193" s="163"/>
      <c r="G193" s="163"/>
      <c r="H193" s="163"/>
      <c r="I193" s="163"/>
      <c r="J193" s="163"/>
      <c r="K193" s="163"/>
      <c r="L193" s="163"/>
      <c r="M193" s="163"/>
      <c r="N193" s="163"/>
      <c r="O193" s="163"/>
      <c r="P193" s="163"/>
      <c r="Q193" s="163"/>
      <c r="R193" s="163"/>
      <c r="S193" s="163"/>
      <c r="T193" s="163"/>
      <c r="U193" s="178" t="s">
        <v>2294</v>
      </c>
      <c r="V193" s="165"/>
      <c r="W193" s="451">
        <v>0</v>
      </c>
      <c r="X193" s="165">
        <v>108000000</v>
      </c>
      <c r="Y193" s="165">
        <v>118800000</v>
      </c>
    </row>
    <row r="194" spans="1:25">
      <c r="A194" s="162"/>
      <c r="B194" s="163"/>
      <c r="C194" s="163"/>
      <c r="D194" s="163"/>
      <c r="E194" s="163"/>
      <c r="F194" s="163"/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  <c r="T194" s="163"/>
      <c r="U194" s="178" t="s">
        <v>2295</v>
      </c>
      <c r="V194" s="165"/>
      <c r="W194" s="451">
        <v>0</v>
      </c>
      <c r="X194" s="165">
        <v>108000000</v>
      </c>
      <c r="Y194" s="165">
        <v>118800000</v>
      </c>
    </row>
    <row r="195" spans="1:25">
      <c r="A195" s="162"/>
      <c r="B195" s="163"/>
      <c r="C195" s="163"/>
      <c r="D195" s="163"/>
      <c r="E195" s="163"/>
      <c r="F195" s="163"/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  <c r="S195" s="163"/>
      <c r="T195" s="163"/>
      <c r="U195" s="178"/>
      <c r="V195" s="165"/>
      <c r="W195" s="451">
        <v>0</v>
      </c>
      <c r="X195" s="165"/>
      <c r="Y195" s="165"/>
    </row>
    <row r="196" spans="1:25" s="184" customFormat="1">
      <c r="A196" s="181"/>
      <c r="B196" s="182"/>
      <c r="C196" s="182"/>
      <c r="D196" s="182"/>
      <c r="E196" s="182"/>
      <c r="F196" s="182"/>
      <c r="G196" s="182"/>
      <c r="H196" s="182"/>
      <c r="I196" s="182"/>
      <c r="J196" s="182"/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3"/>
      <c r="V196" s="168">
        <f>SUM(V187:V195)</f>
        <v>515167500</v>
      </c>
      <c r="W196" s="334">
        <f t="shared" ref="W196:Y196" si="100">SUM(W187:W195)</f>
        <v>446620900</v>
      </c>
      <c r="X196" s="168">
        <f>SUM(X187:X195)</f>
        <v>1268475680</v>
      </c>
      <c r="Y196" s="168">
        <f t="shared" si="100"/>
        <v>1644477863</v>
      </c>
    </row>
    <row r="198" spans="1:25">
      <c r="U198" s="185" t="s">
        <v>1218</v>
      </c>
    </row>
    <row r="199" spans="1:25" ht="15">
      <c r="U199" s="442" t="s">
        <v>2181</v>
      </c>
      <c r="V199" s="145">
        <v>446620900</v>
      </c>
    </row>
    <row r="200" spans="1:25">
      <c r="U200" s="190"/>
    </row>
    <row r="201" spans="1:25">
      <c r="U201" s="190"/>
    </row>
    <row r="202" spans="1:25">
      <c r="U202" s="335"/>
    </row>
    <row r="203" spans="1:25" ht="26.25">
      <c r="A203" s="175" t="s">
        <v>895</v>
      </c>
      <c r="B203" s="176"/>
      <c r="C203" s="176"/>
      <c r="D203" s="176"/>
      <c r="E203" s="176"/>
      <c r="F203" s="176"/>
      <c r="G203" s="176"/>
      <c r="H203" s="176"/>
      <c r="I203" s="176"/>
      <c r="J203" s="176"/>
      <c r="K203" s="176"/>
      <c r="L203" s="176"/>
      <c r="M203" s="176"/>
      <c r="N203" s="176"/>
      <c r="O203" s="176"/>
      <c r="P203" s="176"/>
      <c r="Q203" s="176"/>
      <c r="R203" s="176"/>
      <c r="S203" s="176"/>
      <c r="T203" s="176"/>
      <c r="U203" s="176"/>
      <c r="V203" s="176"/>
      <c r="W203" s="345"/>
      <c r="X203" s="176"/>
      <c r="Y203" s="176"/>
    </row>
    <row r="204" spans="1:25" ht="25.5">
      <c r="A204" s="162"/>
      <c r="B204" s="163"/>
      <c r="C204" s="163"/>
      <c r="D204" s="163"/>
      <c r="E204" s="163"/>
      <c r="F204" s="163"/>
      <c r="G204" s="163"/>
      <c r="H204" s="163"/>
      <c r="I204" s="163"/>
      <c r="J204" s="163"/>
      <c r="K204" s="163"/>
      <c r="L204" s="163"/>
      <c r="M204" s="163"/>
      <c r="N204" s="163"/>
      <c r="O204" s="163"/>
      <c r="P204" s="163"/>
      <c r="Q204" s="163"/>
      <c r="R204" s="163"/>
      <c r="S204" s="163"/>
      <c r="T204" s="163"/>
      <c r="U204" s="178" t="s">
        <v>2296</v>
      </c>
      <c r="V204" s="165"/>
      <c r="W204" s="451">
        <v>0</v>
      </c>
      <c r="X204" s="165">
        <v>142823240</v>
      </c>
      <c r="Y204" s="165">
        <v>142823240</v>
      </c>
    </row>
    <row r="205" spans="1:25">
      <c r="A205" s="162"/>
      <c r="B205" s="163"/>
      <c r="C205" s="163"/>
      <c r="D205" s="163"/>
      <c r="E205" s="163"/>
      <c r="F205" s="163"/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  <c r="S205" s="163"/>
      <c r="T205" s="163"/>
      <c r="U205" s="178" t="s">
        <v>2297</v>
      </c>
      <c r="V205" s="165"/>
      <c r="W205" s="451">
        <v>83876126</v>
      </c>
      <c r="X205" s="165">
        <v>50229370</v>
      </c>
      <c r="Y205" s="165">
        <v>50229370</v>
      </c>
    </row>
    <row r="206" spans="1:25">
      <c r="A206" s="162"/>
      <c r="B206" s="163"/>
      <c r="C206" s="163"/>
      <c r="D206" s="163"/>
      <c r="E206" s="163"/>
      <c r="F206" s="163"/>
      <c r="G206" s="163"/>
      <c r="H206" s="163"/>
      <c r="I206" s="163"/>
      <c r="J206" s="163"/>
      <c r="K206" s="163"/>
      <c r="L206" s="163"/>
      <c r="M206" s="163"/>
      <c r="N206" s="163"/>
      <c r="O206" s="163"/>
      <c r="P206" s="163"/>
      <c r="Q206" s="163"/>
      <c r="R206" s="163"/>
      <c r="S206" s="163"/>
      <c r="T206" s="163"/>
      <c r="U206" s="178" t="s">
        <v>1225</v>
      </c>
      <c r="V206" s="165"/>
      <c r="W206" s="451">
        <v>0</v>
      </c>
      <c r="X206" s="165">
        <v>32333000</v>
      </c>
      <c r="Y206" s="165">
        <v>32333000</v>
      </c>
    </row>
    <row r="207" spans="1:25">
      <c r="A207" s="162"/>
      <c r="B207" s="163"/>
      <c r="C207" s="163"/>
      <c r="D207" s="163"/>
      <c r="E207" s="163"/>
      <c r="F207" s="163"/>
      <c r="G207" s="163"/>
      <c r="H207" s="163"/>
      <c r="I207" s="163"/>
      <c r="J207" s="163"/>
      <c r="K207" s="163"/>
      <c r="L207" s="163"/>
      <c r="M207" s="163"/>
      <c r="N207" s="163"/>
      <c r="O207" s="163"/>
      <c r="P207" s="163"/>
      <c r="Q207" s="163"/>
      <c r="R207" s="163"/>
      <c r="S207" s="163"/>
      <c r="T207" s="163"/>
      <c r="U207" s="178" t="s">
        <v>2298</v>
      </c>
      <c r="V207" s="165">
        <v>247744000</v>
      </c>
      <c r="W207" s="451">
        <v>327620700</v>
      </c>
      <c r="X207" s="165">
        <v>399359500</v>
      </c>
      <c r="Y207" s="165">
        <v>399359500</v>
      </c>
    </row>
    <row r="208" spans="1:25">
      <c r="A208" s="162"/>
      <c r="B208" s="163"/>
      <c r="C208" s="163"/>
      <c r="D208" s="163"/>
      <c r="E208" s="163"/>
      <c r="F208" s="163"/>
      <c r="G208" s="163"/>
      <c r="H208" s="163"/>
      <c r="I208" s="163"/>
      <c r="J208" s="163"/>
      <c r="K208" s="163"/>
      <c r="L208" s="163"/>
      <c r="M208" s="163"/>
      <c r="N208" s="163"/>
      <c r="O208" s="163"/>
      <c r="P208" s="163"/>
      <c r="Q208" s="163"/>
      <c r="R208" s="163"/>
      <c r="S208" s="163"/>
      <c r="T208" s="163"/>
      <c r="U208" s="178" t="s">
        <v>1226</v>
      </c>
      <c r="V208" s="165">
        <v>8510100</v>
      </c>
      <c r="W208" s="451">
        <v>0</v>
      </c>
      <c r="X208" s="165">
        <v>8610100</v>
      </c>
      <c r="Y208" s="165">
        <v>8610100</v>
      </c>
    </row>
    <row r="209" spans="1:25">
      <c r="A209" s="162"/>
      <c r="B209" s="163"/>
      <c r="C209" s="163"/>
      <c r="D209" s="163"/>
      <c r="E209" s="163"/>
      <c r="F209" s="163"/>
      <c r="G209" s="163"/>
      <c r="H209" s="163"/>
      <c r="I209" s="163"/>
      <c r="J209" s="163"/>
      <c r="K209" s="163"/>
      <c r="L209" s="163"/>
      <c r="M209" s="163"/>
      <c r="N209" s="163"/>
      <c r="O209" s="163"/>
      <c r="P209" s="163"/>
      <c r="Q209" s="163"/>
      <c r="R209" s="163"/>
      <c r="S209" s="163"/>
      <c r="T209" s="163"/>
      <c r="U209" s="178" t="s">
        <v>1227</v>
      </c>
      <c r="V209" s="165">
        <v>11020000</v>
      </c>
      <c r="W209" s="451">
        <v>0</v>
      </c>
      <c r="X209" s="165">
        <v>11020000</v>
      </c>
      <c r="Y209" s="165">
        <v>11020000</v>
      </c>
    </row>
    <row r="210" spans="1:25">
      <c r="A210" s="162"/>
      <c r="B210" s="163"/>
      <c r="C210" s="163"/>
      <c r="D210" s="163"/>
      <c r="E210" s="163"/>
      <c r="F210" s="163"/>
      <c r="G210" s="163"/>
      <c r="H210" s="163"/>
      <c r="I210" s="163"/>
      <c r="J210" s="163"/>
      <c r="K210" s="163"/>
      <c r="L210" s="163"/>
      <c r="M210" s="163"/>
      <c r="N210" s="163"/>
      <c r="O210" s="163"/>
      <c r="P210" s="163"/>
      <c r="Q210" s="163"/>
      <c r="R210" s="163"/>
      <c r="S210" s="163"/>
      <c r="T210" s="163"/>
      <c r="U210" s="178" t="s">
        <v>1228</v>
      </c>
      <c r="V210" s="165">
        <v>27340240</v>
      </c>
      <c r="W210" s="451">
        <v>0</v>
      </c>
      <c r="X210" s="165">
        <v>27340240</v>
      </c>
      <c r="Y210" s="165">
        <v>27340240</v>
      </c>
    </row>
    <row r="211" spans="1:25">
      <c r="A211" s="162"/>
      <c r="B211" s="163"/>
      <c r="C211" s="163"/>
      <c r="D211" s="163"/>
      <c r="E211" s="163"/>
      <c r="F211" s="163"/>
      <c r="G211" s="163"/>
      <c r="H211" s="163"/>
      <c r="I211" s="163"/>
      <c r="J211" s="163"/>
      <c r="K211" s="163"/>
      <c r="L211" s="163"/>
      <c r="M211" s="163"/>
      <c r="N211" s="163"/>
      <c r="O211" s="163"/>
      <c r="P211" s="163"/>
      <c r="Q211" s="163"/>
      <c r="R211" s="163"/>
      <c r="S211" s="163"/>
      <c r="T211" s="163"/>
      <c r="U211" s="178" t="s">
        <v>1229</v>
      </c>
      <c r="V211" s="165">
        <v>702296940</v>
      </c>
      <c r="W211" s="451">
        <v>692221708</v>
      </c>
      <c r="X211" s="165"/>
      <c r="Y211" s="165"/>
    </row>
    <row r="212" spans="1:25">
      <c r="A212" s="162"/>
      <c r="B212" s="163"/>
      <c r="C212" s="163"/>
      <c r="D212" s="163"/>
      <c r="E212" s="163"/>
      <c r="F212" s="163"/>
      <c r="G212" s="163"/>
      <c r="H212" s="163"/>
      <c r="I212" s="163"/>
      <c r="J212" s="163"/>
      <c r="K212" s="163"/>
      <c r="L212" s="163"/>
      <c r="M212" s="163"/>
      <c r="N212" s="163"/>
      <c r="O212" s="163"/>
      <c r="P212" s="163"/>
      <c r="Q212" s="163"/>
      <c r="R212" s="163"/>
      <c r="S212" s="163"/>
      <c r="T212" s="163"/>
      <c r="U212" s="178" t="s">
        <v>2290</v>
      </c>
      <c r="V212" s="165"/>
      <c r="W212" s="451">
        <v>0</v>
      </c>
      <c r="X212" s="165">
        <v>188000000</v>
      </c>
      <c r="Y212" s="165">
        <v>313000000</v>
      </c>
    </row>
    <row r="213" spans="1:25">
      <c r="A213" s="162"/>
      <c r="B213" s="163"/>
      <c r="C213" s="163"/>
      <c r="D213" s="163"/>
      <c r="E213" s="163"/>
      <c r="F213" s="163"/>
      <c r="G213" s="163"/>
      <c r="H213" s="163"/>
      <c r="I213" s="163"/>
      <c r="J213" s="163"/>
      <c r="K213" s="163"/>
      <c r="L213" s="163"/>
      <c r="M213" s="163"/>
      <c r="N213" s="163"/>
      <c r="O213" s="163"/>
      <c r="P213" s="163"/>
      <c r="Q213" s="163"/>
      <c r="R213" s="163"/>
      <c r="S213" s="163"/>
      <c r="T213" s="163"/>
      <c r="U213" s="178" t="s">
        <v>2299</v>
      </c>
      <c r="V213" s="165"/>
      <c r="W213" s="451">
        <v>0</v>
      </c>
      <c r="X213" s="165">
        <v>90000000</v>
      </c>
      <c r="Y213" s="165">
        <v>99000000</v>
      </c>
    </row>
    <row r="214" spans="1:25" s="184" customFormat="1">
      <c r="A214" s="181"/>
      <c r="B214" s="182"/>
      <c r="C214" s="182"/>
      <c r="D214" s="182"/>
      <c r="E214" s="182"/>
      <c r="F214" s="182"/>
      <c r="G214" s="182"/>
      <c r="H214" s="182"/>
      <c r="I214" s="182"/>
      <c r="J214" s="182"/>
      <c r="K214" s="182"/>
      <c r="L214" s="182"/>
      <c r="M214" s="182"/>
      <c r="N214" s="182"/>
      <c r="O214" s="182"/>
      <c r="P214" s="182"/>
      <c r="Q214" s="182"/>
      <c r="R214" s="182"/>
      <c r="S214" s="182"/>
      <c r="T214" s="182"/>
      <c r="U214" s="183"/>
      <c r="V214" s="168">
        <f>SUM(V204:V213)</f>
        <v>996911280</v>
      </c>
      <c r="W214" s="334">
        <f t="shared" ref="W214" si="101">SUM(W204:W213)</f>
        <v>1103718534</v>
      </c>
      <c r="X214" s="168">
        <f t="shared" ref="X214:Y214" si="102">SUM(X204:X213)</f>
        <v>949715450</v>
      </c>
      <c r="Y214" s="168">
        <f t="shared" si="102"/>
        <v>1083715450</v>
      </c>
    </row>
    <row r="216" spans="1:25">
      <c r="U216" s="185" t="s">
        <v>1218</v>
      </c>
    </row>
    <row r="217" spans="1:25" ht="25.5">
      <c r="U217" s="185" t="s">
        <v>1230</v>
      </c>
    </row>
    <row r="218" spans="1:25">
      <c r="U218" s="144" t="s">
        <v>1231</v>
      </c>
      <c r="V218" s="145">
        <v>291743500</v>
      </c>
    </row>
    <row r="219" spans="1:25">
      <c r="U219" s="144" t="s">
        <v>1220</v>
      </c>
      <c r="V219" s="145">
        <v>35877200</v>
      </c>
    </row>
    <row r="220" spans="1:25" ht="13.5" thickBot="1">
      <c r="V220" s="354">
        <f>SUM(V218:V219)</f>
        <v>327620700</v>
      </c>
    </row>
    <row r="222" spans="1:25" ht="25.5">
      <c r="U222" s="185" t="s">
        <v>1232</v>
      </c>
    </row>
    <row r="223" spans="1:25">
      <c r="U223" s="144" t="s">
        <v>1219</v>
      </c>
      <c r="V223" s="145">
        <v>692221708</v>
      </c>
    </row>
    <row r="224" spans="1:25" ht="13.5" thickBot="1">
      <c r="V224" s="354">
        <f>SUM(V223:V223)</f>
        <v>692221708</v>
      </c>
    </row>
    <row r="226" spans="1:25" ht="26.25">
      <c r="A226" s="175" t="s">
        <v>930</v>
      </c>
      <c r="B226" s="176"/>
      <c r="C226" s="176"/>
      <c r="D226" s="176"/>
      <c r="E226" s="176"/>
      <c r="F226" s="176"/>
      <c r="G226" s="176"/>
      <c r="H226" s="176"/>
      <c r="I226" s="176"/>
      <c r="J226" s="176"/>
      <c r="K226" s="176"/>
      <c r="L226" s="176"/>
      <c r="M226" s="176"/>
      <c r="N226" s="176"/>
      <c r="O226" s="176"/>
      <c r="P226" s="176"/>
      <c r="Q226" s="176"/>
      <c r="R226" s="176"/>
      <c r="S226" s="176"/>
      <c r="T226" s="176"/>
      <c r="U226" s="176"/>
      <c r="V226" s="176"/>
      <c r="W226" s="345"/>
      <c r="X226" s="176"/>
      <c r="Y226" s="176"/>
    </row>
    <row r="227" spans="1:25">
      <c r="A227" s="325"/>
      <c r="B227" s="163"/>
      <c r="C227" s="163"/>
      <c r="D227" s="163"/>
      <c r="E227" s="163"/>
      <c r="F227" s="163"/>
      <c r="G227" s="163"/>
      <c r="H227" s="163"/>
      <c r="I227" s="163"/>
      <c r="J227" s="163"/>
      <c r="K227" s="163"/>
      <c r="L227" s="163"/>
      <c r="M227" s="163"/>
      <c r="N227" s="163"/>
      <c r="O227" s="163"/>
      <c r="P227" s="163"/>
      <c r="Q227" s="163"/>
      <c r="R227" s="163"/>
      <c r="S227" s="163"/>
      <c r="T227" s="163"/>
      <c r="U227" s="178" t="s">
        <v>2300</v>
      </c>
      <c r="V227" s="165">
        <v>480000000</v>
      </c>
      <c r="W227" s="451">
        <v>424095000</v>
      </c>
      <c r="X227" s="282">
        <v>468095000</v>
      </c>
      <c r="Y227" s="282">
        <v>468095000</v>
      </c>
    </row>
    <row r="228" spans="1:25">
      <c r="A228" s="325"/>
      <c r="B228" s="163"/>
      <c r="C228" s="163"/>
      <c r="D228" s="163"/>
      <c r="E228" s="163"/>
      <c r="F228" s="163"/>
      <c r="G228" s="163"/>
      <c r="H228" s="163"/>
      <c r="I228" s="163"/>
      <c r="J228" s="163"/>
      <c r="K228" s="163"/>
      <c r="L228" s="163"/>
      <c r="M228" s="163"/>
      <c r="N228" s="163"/>
      <c r="O228" s="163"/>
      <c r="P228" s="163"/>
      <c r="Q228" s="163"/>
      <c r="R228" s="163"/>
      <c r="S228" s="163"/>
      <c r="T228" s="163"/>
      <c r="U228" s="178" t="s">
        <v>2301</v>
      </c>
      <c r="V228" s="165"/>
      <c r="W228" s="451">
        <v>16087000</v>
      </c>
      <c r="X228" s="282">
        <v>16087000</v>
      </c>
      <c r="Y228" s="282">
        <v>16087000</v>
      </c>
    </row>
    <row r="229" spans="1:25" ht="25.5">
      <c r="A229" s="325"/>
      <c r="B229" s="163"/>
      <c r="C229" s="163"/>
      <c r="D229" s="163"/>
      <c r="E229" s="163"/>
      <c r="F229" s="163"/>
      <c r="G229" s="163"/>
      <c r="H229" s="163"/>
      <c r="I229" s="163"/>
      <c r="J229" s="163"/>
      <c r="K229" s="163"/>
      <c r="L229" s="163"/>
      <c r="M229" s="163"/>
      <c r="N229" s="163"/>
      <c r="O229" s="163"/>
      <c r="P229" s="163"/>
      <c r="Q229" s="163"/>
      <c r="R229" s="163"/>
      <c r="S229" s="163"/>
      <c r="T229" s="163"/>
      <c r="U229" s="178" t="s">
        <v>1233</v>
      </c>
      <c r="V229" s="165">
        <v>300000000</v>
      </c>
      <c r="W229" s="451">
        <v>0</v>
      </c>
      <c r="X229" s="282">
        <v>315000000</v>
      </c>
      <c r="Y229" s="282">
        <v>330750000</v>
      </c>
    </row>
    <row r="230" spans="1:25" ht="25.5">
      <c r="A230" s="325"/>
      <c r="B230" s="163"/>
      <c r="C230" s="163"/>
      <c r="D230" s="163"/>
      <c r="E230" s="163"/>
      <c r="F230" s="163"/>
      <c r="G230" s="163"/>
      <c r="H230" s="163"/>
      <c r="I230" s="163"/>
      <c r="J230" s="163"/>
      <c r="K230" s="163"/>
      <c r="L230" s="163"/>
      <c r="M230" s="163"/>
      <c r="N230" s="163"/>
      <c r="O230" s="163"/>
      <c r="P230" s="163"/>
      <c r="Q230" s="163"/>
      <c r="R230" s="163"/>
      <c r="S230" s="163"/>
      <c r="T230" s="163"/>
      <c r="U230" s="178" t="s">
        <v>1234</v>
      </c>
      <c r="V230" s="165"/>
      <c r="W230" s="451">
        <v>20087000</v>
      </c>
      <c r="X230" s="282">
        <v>10000000</v>
      </c>
      <c r="Y230" s="282">
        <v>0</v>
      </c>
    </row>
    <row r="231" spans="1:25">
      <c r="A231" s="325"/>
      <c r="B231" s="163"/>
      <c r="C231" s="163"/>
      <c r="D231" s="163"/>
      <c r="E231" s="163"/>
      <c r="F231" s="163"/>
      <c r="G231" s="163"/>
      <c r="H231" s="163"/>
      <c r="I231" s="163"/>
      <c r="J231" s="163"/>
      <c r="K231" s="163"/>
      <c r="L231" s="163"/>
      <c r="M231" s="163"/>
      <c r="N231" s="163"/>
      <c r="O231" s="163"/>
      <c r="P231" s="163"/>
      <c r="Q231" s="163"/>
      <c r="R231" s="163"/>
      <c r="S231" s="163"/>
      <c r="T231" s="163"/>
      <c r="U231" s="178" t="s">
        <v>2302</v>
      </c>
      <c r="V231" s="165"/>
      <c r="W231" s="451">
        <v>49400000</v>
      </c>
      <c r="X231" s="282">
        <v>49400000</v>
      </c>
      <c r="Y231" s="282">
        <v>195000000</v>
      </c>
    </row>
    <row r="232" spans="1:25" ht="25.5">
      <c r="A232" s="325"/>
      <c r="B232" s="163"/>
      <c r="C232" s="163"/>
      <c r="D232" s="163"/>
      <c r="E232" s="163"/>
      <c r="F232" s="163"/>
      <c r="G232" s="163"/>
      <c r="H232" s="163"/>
      <c r="I232" s="163"/>
      <c r="J232" s="163"/>
      <c r="K232" s="163"/>
      <c r="L232" s="163"/>
      <c r="M232" s="163"/>
      <c r="N232" s="163"/>
      <c r="O232" s="163"/>
      <c r="P232" s="163"/>
      <c r="Q232" s="163"/>
      <c r="R232" s="163"/>
      <c r="S232" s="163"/>
      <c r="T232" s="163"/>
      <c r="U232" s="178" t="s">
        <v>2303</v>
      </c>
      <c r="V232" s="165">
        <v>1000000</v>
      </c>
      <c r="W232" s="451">
        <v>5087000</v>
      </c>
      <c r="X232" s="282">
        <v>0</v>
      </c>
      <c r="Y232" s="282">
        <v>0</v>
      </c>
    </row>
    <row r="233" spans="1:25">
      <c r="A233" s="325"/>
      <c r="B233" s="163"/>
      <c r="C233" s="163"/>
      <c r="D233" s="163"/>
      <c r="E233" s="163"/>
      <c r="F233" s="163"/>
      <c r="G233" s="163"/>
      <c r="H233" s="163"/>
      <c r="I233" s="163"/>
      <c r="J233" s="163"/>
      <c r="K233" s="163"/>
      <c r="L233" s="163"/>
      <c r="M233" s="163"/>
      <c r="N233" s="163"/>
      <c r="O233" s="163"/>
      <c r="P233" s="163"/>
      <c r="Q233" s="163"/>
      <c r="R233" s="163"/>
      <c r="S233" s="163"/>
      <c r="T233" s="163"/>
      <c r="U233" s="178" t="s">
        <v>2304</v>
      </c>
      <c r="V233" s="165"/>
      <c r="W233" s="451">
        <v>30087000</v>
      </c>
      <c r="X233" s="282">
        <v>0</v>
      </c>
      <c r="Y233" s="282">
        <v>0</v>
      </c>
    </row>
    <row r="234" spans="1:25">
      <c r="A234" s="325"/>
      <c r="B234" s="163"/>
      <c r="C234" s="163"/>
      <c r="D234" s="163"/>
      <c r="E234" s="163"/>
      <c r="F234" s="163"/>
      <c r="G234" s="163"/>
      <c r="H234" s="163"/>
      <c r="I234" s="163"/>
      <c r="J234" s="163"/>
      <c r="K234" s="163"/>
      <c r="L234" s="163"/>
      <c r="M234" s="163"/>
      <c r="N234" s="163"/>
      <c r="O234" s="163"/>
      <c r="P234" s="163"/>
      <c r="Q234" s="163"/>
      <c r="R234" s="163"/>
      <c r="S234" s="163"/>
      <c r="T234" s="163"/>
      <c r="U234" s="178" t="s">
        <v>1235</v>
      </c>
      <c r="V234" s="165">
        <v>200000000</v>
      </c>
      <c r="W234" s="451">
        <v>0</v>
      </c>
      <c r="X234" s="282">
        <v>180000000</v>
      </c>
      <c r="Y234" s="282">
        <v>150000000</v>
      </c>
    </row>
    <row r="235" spans="1:25">
      <c r="A235" s="325"/>
      <c r="B235" s="163"/>
      <c r="C235" s="163"/>
      <c r="D235" s="163"/>
      <c r="E235" s="163"/>
      <c r="F235" s="163"/>
      <c r="G235" s="163"/>
      <c r="H235" s="163"/>
      <c r="I235" s="163"/>
      <c r="J235" s="163"/>
      <c r="K235" s="163"/>
      <c r="L235" s="163"/>
      <c r="M235" s="163"/>
      <c r="N235" s="163"/>
      <c r="O235" s="163"/>
      <c r="P235" s="163"/>
      <c r="Q235" s="163"/>
      <c r="R235" s="163"/>
      <c r="S235" s="163"/>
      <c r="T235" s="163"/>
      <c r="U235" s="178" t="s">
        <v>2305</v>
      </c>
      <c r="V235" s="165"/>
      <c r="W235" s="451">
        <v>77183000</v>
      </c>
      <c r="X235" s="282">
        <v>0</v>
      </c>
      <c r="Y235" s="282">
        <v>0</v>
      </c>
    </row>
    <row r="236" spans="1:25">
      <c r="A236" s="325"/>
      <c r="B236" s="163"/>
      <c r="C236" s="163"/>
      <c r="D236" s="163"/>
      <c r="E236" s="163"/>
      <c r="F236" s="163"/>
      <c r="G236" s="163"/>
      <c r="H236" s="163"/>
      <c r="I236" s="163"/>
      <c r="J236" s="163"/>
      <c r="K236" s="163"/>
      <c r="L236" s="163"/>
      <c r="M236" s="163"/>
      <c r="N236" s="163"/>
      <c r="O236" s="163"/>
      <c r="P236" s="163"/>
      <c r="Q236" s="163"/>
      <c r="R236" s="163"/>
      <c r="S236" s="163"/>
      <c r="T236" s="163"/>
      <c r="U236" s="178" t="s">
        <v>1236</v>
      </c>
      <c r="V236" s="165">
        <v>30000000</v>
      </c>
      <c r="W236" s="451">
        <v>69887000</v>
      </c>
      <c r="X236" s="282">
        <v>0</v>
      </c>
      <c r="Y236" s="282">
        <v>0</v>
      </c>
    </row>
    <row r="237" spans="1:25">
      <c r="A237" s="325"/>
      <c r="B237" s="163"/>
      <c r="C237" s="163"/>
      <c r="D237" s="163"/>
      <c r="E237" s="163"/>
      <c r="F237" s="163"/>
      <c r="G237" s="163"/>
      <c r="H237" s="163"/>
      <c r="I237" s="163"/>
      <c r="J237" s="163"/>
      <c r="K237" s="163"/>
      <c r="L237" s="163"/>
      <c r="M237" s="163"/>
      <c r="N237" s="163"/>
      <c r="O237" s="163"/>
      <c r="P237" s="163"/>
      <c r="Q237" s="163"/>
      <c r="R237" s="163"/>
      <c r="S237" s="163"/>
      <c r="T237" s="163"/>
      <c r="U237" s="178" t="s">
        <v>1888</v>
      </c>
      <c r="V237" s="165"/>
      <c r="W237" s="451">
        <v>108087000</v>
      </c>
      <c r="X237" s="282">
        <v>200000000</v>
      </c>
      <c r="Y237" s="282">
        <v>400000000</v>
      </c>
    </row>
    <row r="238" spans="1:25">
      <c r="A238" s="325"/>
      <c r="B238" s="163"/>
      <c r="C238" s="163"/>
      <c r="D238" s="163"/>
      <c r="E238" s="163"/>
      <c r="F238" s="163"/>
      <c r="G238" s="163"/>
      <c r="H238" s="163"/>
      <c r="I238" s="163"/>
      <c r="J238" s="163"/>
      <c r="K238" s="163"/>
      <c r="L238" s="163"/>
      <c r="M238" s="163"/>
      <c r="N238" s="163"/>
      <c r="O238" s="163"/>
      <c r="P238" s="163"/>
      <c r="Q238" s="163"/>
      <c r="R238" s="163"/>
      <c r="S238" s="163"/>
      <c r="T238" s="163"/>
      <c r="U238" s="178" t="s">
        <v>1237</v>
      </c>
      <c r="V238" s="165">
        <v>125000000</v>
      </c>
      <c r="W238" s="451">
        <v>0</v>
      </c>
      <c r="X238" s="282"/>
      <c r="Y238" s="282"/>
    </row>
    <row r="239" spans="1:25" ht="25.5">
      <c r="A239" s="325"/>
      <c r="B239" s="163"/>
      <c r="C239" s="163"/>
      <c r="D239" s="163"/>
      <c r="E239" s="163"/>
      <c r="F239" s="163"/>
      <c r="G239" s="163"/>
      <c r="H239" s="163"/>
      <c r="I239" s="163"/>
      <c r="J239" s="163"/>
      <c r="K239" s="163"/>
      <c r="L239" s="163"/>
      <c r="M239" s="163"/>
      <c r="N239" s="163"/>
      <c r="O239" s="163"/>
      <c r="P239" s="163"/>
      <c r="Q239" s="163"/>
      <c r="R239" s="163"/>
      <c r="S239" s="163"/>
      <c r="T239" s="163"/>
      <c r="U239" s="178" t="s">
        <v>1889</v>
      </c>
      <c r="V239" s="165">
        <v>200000000</v>
      </c>
      <c r="W239" s="451">
        <v>0</v>
      </c>
      <c r="X239" s="282"/>
      <c r="Y239" s="282"/>
    </row>
    <row r="240" spans="1:25">
      <c r="A240" s="325"/>
      <c r="B240" s="163"/>
      <c r="C240" s="163"/>
      <c r="D240" s="163"/>
      <c r="E240" s="163"/>
      <c r="F240" s="163"/>
      <c r="G240" s="163"/>
      <c r="H240" s="163"/>
      <c r="I240" s="163"/>
      <c r="J240" s="163"/>
      <c r="K240" s="163"/>
      <c r="L240" s="163"/>
      <c r="M240" s="163"/>
      <c r="N240" s="163"/>
      <c r="O240" s="163"/>
      <c r="P240" s="163"/>
      <c r="Q240" s="163"/>
      <c r="R240" s="163"/>
      <c r="S240" s="163"/>
      <c r="T240" s="163"/>
      <c r="U240" s="178" t="s">
        <v>2171</v>
      </c>
      <c r="V240" s="165"/>
      <c r="W240" s="451">
        <v>200474425</v>
      </c>
      <c r="X240" s="282"/>
      <c r="Y240" s="282"/>
    </row>
    <row r="241" spans="1:25">
      <c r="A241" s="325"/>
      <c r="B241" s="163"/>
      <c r="C241" s="163"/>
      <c r="D241" s="163"/>
      <c r="E241" s="163"/>
      <c r="F241" s="163"/>
      <c r="G241" s="163"/>
      <c r="H241" s="163"/>
      <c r="I241" s="163"/>
      <c r="J241" s="163"/>
      <c r="K241" s="163"/>
      <c r="L241" s="163"/>
      <c r="M241" s="163"/>
      <c r="N241" s="163"/>
      <c r="O241" s="163"/>
      <c r="P241" s="163"/>
      <c r="Q241" s="163"/>
      <c r="R241" s="163"/>
      <c r="S241" s="163"/>
      <c r="T241" s="163"/>
      <c r="U241" s="178" t="s">
        <v>2161</v>
      </c>
      <c r="V241" s="165"/>
      <c r="W241" s="451">
        <v>60000000</v>
      </c>
      <c r="X241" s="282"/>
      <c r="Y241" s="282"/>
    </row>
    <row r="242" spans="1:25" s="184" customFormat="1">
      <c r="A242" s="365"/>
      <c r="B242" s="182"/>
      <c r="C242" s="182"/>
      <c r="D242" s="182"/>
      <c r="E242" s="182"/>
      <c r="F242" s="182"/>
      <c r="G242" s="182"/>
      <c r="H242" s="182"/>
      <c r="I242" s="182"/>
      <c r="J242" s="182"/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3"/>
      <c r="V242" s="168">
        <f t="shared" ref="V242:Y242" si="103">SUM(V227:V239)</f>
        <v>1336000000</v>
      </c>
      <c r="W242" s="334">
        <f t="shared" ref="W242" si="104">SUM(W227:W241)</f>
        <v>1060474425</v>
      </c>
      <c r="X242" s="168">
        <f t="shared" si="103"/>
        <v>1238582000</v>
      </c>
      <c r="Y242" s="168">
        <f t="shared" si="103"/>
        <v>1559932000</v>
      </c>
    </row>
    <row r="244" spans="1:25">
      <c r="U244" s="185" t="s">
        <v>1218</v>
      </c>
    </row>
    <row r="245" spans="1:25" ht="15">
      <c r="U245" s="442" t="s">
        <v>2181</v>
      </c>
      <c r="V245" s="262">
        <v>1060474425</v>
      </c>
    </row>
    <row r="247" spans="1:25">
      <c r="U247" s="333"/>
    </row>
    <row r="251" spans="1:25" ht="26.25">
      <c r="A251" s="175" t="s">
        <v>1695</v>
      </c>
      <c r="B251" s="176"/>
      <c r="C251" s="176"/>
      <c r="D251" s="176"/>
      <c r="E251" s="176"/>
      <c r="F251" s="176"/>
      <c r="G251" s="176"/>
      <c r="H251" s="176"/>
      <c r="I251" s="176"/>
      <c r="J251" s="176"/>
      <c r="K251" s="176"/>
      <c r="L251" s="176"/>
      <c r="M251" s="176"/>
      <c r="N251" s="176"/>
      <c r="O251" s="176"/>
      <c r="P251" s="176"/>
      <c r="Q251" s="176"/>
      <c r="R251" s="176"/>
      <c r="S251" s="176"/>
      <c r="T251" s="176"/>
      <c r="U251" s="176"/>
      <c r="V251" s="176"/>
      <c r="W251" s="345"/>
      <c r="X251" s="176"/>
      <c r="Y251" s="176"/>
    </row>
    <row r="252" spans="1:25">
      <c r="A252" s="162"/>
      <c r="B252" s="163"/>
      <c r="C252" s="163"/>
      <c r="D252" s="163"/>
      <c r="E252" s="163"/>
      <c r="F252" s="163"/>
      <c r="G252" s="163"/>
      <c r="H252" s="163"/>
      <c r="I252" s="163"/>
      <c r="J252" s="163"/>
      <c r="K252" s="163"/>
      <c r="L252" s="163"/>
      <c r="M252" s="163"/>
      <c r="N252" s="163"/>
      <c r="O252" s="163"/>
      <c r="P252" s="163"/>
      <c r="Q252" s="163"/>
      <c r="R252" s="163"/>
      <c r="S252" s="163"/>
      <c r="T252" s="163"/>
      <c r="U252" s="178" t="s">
        <v>1259</v>
      </c>
      <c r="V252" s="165"/>
      <c r="W252" s="451">
        <v>150000000</v>
      </c>
      <c r="X252" s="282">
        <v>100000000</v>
      </c>
      <c r="Y252" s="282">
        <v>120000000</v>
      </c>
    </row>
    <row r="253" spans="1:25" ht="25.5">
      <c r="A253" s="162"/>
      <c r="B253" s="163"/>
      <c r="C253" s="163"/>
      <c r="D253" s="163"/>
      <c r="E253" s="163"/>
      <c r="F253" s="163"/>
      <c r="G253" s="163"/>
      <c r="H253" s="163"/>
      <c r="I253" s="163"/>
      <c r="J253" s="163"/>
      <c r="K253" s="163"/>
      <c r="L253" s="163"/>
      <c r="M253" s="163"/>
      <c r="N253" s="163"/>
      <c r="O253" s="163"/>
      <c r="P253" s="163"/>
      <c r="Q253" s="163"/>
      <c r="R253" s="163"/>
      <c r="S253" s="163"/>
      <c r="T253" s="163"/>
      <c r="U253" s="178" t="s">
        <v>2306</v>
      </c>
      <c r="V253" s="165"/>
      <c r="W253" s="451">
        <v>0</v>
      </c>
      <c r="X253" s="165">
        <v>300000000</v>
      </c>
      <c r="Y253" s="165">
        <v>395805000</v>
      </c>
    </row>
    <row r="254" spans="1:25" ht="25.5">
      <c r="A254" s="162"/>
      <c r="B254" s="163"/>
      <c r="C254" s="163"/>
      <c r="D254" s="163"/>
      <c r="E254" s="163"/>
      <c r="F254" s="163"/>
      <c r="G254" s="163"/>
      <c r="H254" s="163"/>
      <c r="I254" s="163"/>
      <c r="J254" s="163"/>
      <c r="K254" s="163"/>
      <c r="L254" s="163"/>
      <c r="M254" s="163"/>
      <c r="N254" s="163"/>
      <c r="O254" s="163"/>
      <c r="P254" s="163"/>
      <c r="Q254" s="163"/>
      <c r="R254" s="163"/>
      <c r="S254" s="163"/>
      <c r="T254" s="163"/>
      <c r="U254" s="178" t="s">
        <v>2307</v>
      </c>
      <c r="V254" s="165"/>
      <c r="W254" s="451">
        <v>0</v>
      </c>
      <c r="X254" s="165">
        <v>292325946.5</v>
      </c>
      <c r="Y254" s="165">
        <v>310000000</v>
      </c>
    </row>
    <row r="255" spans="1:25" ht="25.5">
      <c r="A255" s="162"/>
      <c r="B255" s="163"/>
      <c r="C255" s="163"/>
      <c r="D255" s="163"/>
      <c r="E255" s="163"/>
      <c r="F255" s="163"/>
      <c r="G255" s="163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  <c r="R255" s="163"/>
      <c r="S255" s="163"/>
      <c r="T255" s="163"/>
      <c r="U255" s="178" t="s">
        <v>1890</v>
      </c>
      <c r="V255" s="165"/>
      <c r="W255" s="451">
        <v>0</v>
      </c>
      <c r="X255" s="282">
        <v>150517900</v>
      </c>
      <c r="Y255" s="282">
        <v>180000000</v>
      </c>
    </row>
    <row r="256" spans="1:25" ht="38.25">
      <c r="A256" s="162"/>
      <c r="B256" s="163"/>
      <c r="C256" s="163"/>
      <c r="D256" s="163"/>
      <c r="E256" s="163"/>
      <c r="F256" s="163"/>
      <c r="G256" s="163"/>
      <c r="H256" s="163"/>
      <c r="I256" s="163"/>
      <c r="J256" s="163"/>
      <c r="K256" s="163"/>
      <c r="L256" s="163"/>
      <c r="M256" s="163"/>
      <c r="N256" s="163"/>
      <c r="O256" s="163"/>
      <c r="P256" s="163"/>
      <c r="Q256" s="163"/>
      <c r="R256" s="163"/>
      <c r="S256" s="163"/>
      <c r="T256" s="163"/>
      <c r="U256" s="170" t="s">
        <v>2309</v>
      </c>
      <c r="V256" s="165"/>
      <c r="W256" s="451">
        <v>0</v>
      </c>
      <c r="X256" s="282">
        <v>80000000</v>
      </c>
      <c r="Y256" s="282">
        <v>80000000</v>
      </c>
    </row>
    <row r="257" spans="1:25">
      <c r="A257" s="162"/>
      <c r="B257" s="163"/>
      <c r="C257" s="163"/>
      <c r="D257" s="163"/>
      <c r="E257" s="163"/>
      <c r="F257" s="163"/>
      <c r="G257" s="163"/>
      <c r="H257" s="163"/>
      <c r="I257" s="163"/>
      <c r="J257" s="163"/>
      <c r="K257" s="163"/>
      <c r="L257" s="163"/>
      <c r="M257" s="163"/>
      <c r="N257" s="163"/>
      <c r="O257" s="163"/>
      <c r="P257" s="163"/>
      <c r="Q257" s="163"/>
      <c r="R257" s="163"/>
      <c r="S257" s="163"/>
      <c r="T257" s="163"/>
      <c r="U257" s="178" t="s">
        <v>1238</v>
      </c>
      <c r="V257" s="165">
        <v>800000000</v>
      </c>
      <c r="W257" s="451">
        <v>784000000</v>
      </c>
      <c r="X257" s="282">
        <v>400000000</v>
      </c>
      <c r="Y257" s="282">
        <v>484000000</v>
      </c>
    </row>
    <row r="258" spans="1:25" ht="25.5">
      <c r="A258" s="162"/>
      <c r="B258" s="180"/>
      <c r="C258" s="179"/>
      <c r="D258" s="179"/>
      <c r="E258" s="179"/>
      <c r="F258" s="179"/>
      <c r="G258" s="179"/>
      <c r="H258" s="179"/>
      <c r="I258" s="179"/>
      <c r="J258" s="179"/>
      <c r="K258" s="179"/>
      <c r="L258" s="179"/>
      <c r="M258" s="179"/>
      <c r="N258" s="179"/>
      <c r="O258" s="179"/>
      <c r="P258" s="179"/>
      <c r="Q258" s="179"/>
      <c r="R258" s="179"/>
      <c r="S258" s="180"/>
      <c r="T258" s="179"/>
      <c r="U258" s="170" t="s">
        <v>2308</v>
      </c>
      <c r="V258" s="165">
        <v>177051116.92500001</v>
      </c>
      <c r="W258" s="451">
        <v>0</v>
      </c>
      <c r="X258" s="163"/>
      <c r="Y258" s="163"/>
    </row>
    <row r="259" spans="1:25">
      <c r="A259" s="162"/>
      <c r="B259" s="180"/>
      <c r="C259" s="179"/>
      <c r="D259" s="179"/>
      <c r="E259" s="179"/>
      <c r="F259" s="179"/>
      <c r="G259" s="179"/>
      <c r="H259" s="179"/>
      <c r="I259" s="179"/>
      <c r="J259" s="179"/>
      <c r="K259" s="179"/>
      <c r="L259" s="179"/>
      <c r="M259" s="179"/>
      <c r="N259" s="179"/>
      <c r="O259" s="179"/>
      <c r="P259" s="179"/>
      <c r="Q259" s="179"/>
      <c r="R259" s="179"/>
      <c r="S259" s="180"/>
      <c r="T259" s="179"/>
      <c r="U259" s="170" t="s">
        <v>2310</v>
      </c>
      <c r="V259" s="165">
        <v>144000000</v>
      </c>
      <c r="W259" s="451">
        <v>0</v>
      </c>
      <c r="X259" s="163"/>
      <c r="Y259" s="163"/>
    </row>
    <row r="260" spans="1:25">
      <c r="A260" s="162"/>
      <c r="B260" s="180"/>
      <c r="C260" s="179"/>
      <c r="D260" s="179"/>
      <c r="E260" s="179"/>
      <c r="F260" s="179"/>
      <c r="G260" s="179"/>
      <c r="H260" s="179"/>
      <c r="I260" s="179"/>
      <c r="J260" s="179"/>
      <c r="K260" s="179"/>
      <c r="L260" s="179"/>
      <c r="M260" s="179"/>
      <c r="N260" s="179"/>
      <c r="O260" s="179"/>
      <c r="P260" s="179"/>
      <c r="Q260" s="179"/>
      <c r="R260" s="179"/>
      <c r="S260" s="180"/>
      <c r="T260" s="179"/>
      <c r="U260" s="170" t="s">
        <v>1240</v>
      </c>
      <c r="V260" s="165">
        <v>1856000000</v>
      </c>
      <c r="W260" s="451">
        <v>2020100000</v>
      </c>
      <c r="X260" s="163">
        <v>300000000</v>
      </c>
      <c r="Y260" s="163">
        <v>400000000</v>
      </c>
    </row>
    <row r="261" spans="1:25" ht="25.5">
      <c r="A261" s="162"/>
      <c r="B261" s="180"/>
      <c r="C261" s="179"/>
      <c r="D261" s="179"/>
      <c r="E261" s="179"/>
      <c r="F261" s="179"/>
      <c r="G261" s="179"/>
      <c r="H261" s="179"/>
      <c r="I261" s="179"/>
      <c r="J261" s="179"/>
      <c r="K261" s="179"/>
      <c r="L261" s="179"/>
      <c r="M261" s="179"/>
      <c r="N261" s="179"/>
      <c r="O261" s="179"/>
      <c r="P261" s="179"/>
      <c r="Q261" s="179"/>
      <c r="R261" s="179"/>
      <c r="S261" s="180"/>
      <c r="T261" s="179"/>
      <c r="U261" s="170" t="s">
        <v>2311</v>
      </c>
      <c r="V261" s="165"/>
      <c r="W261" s="451">
        <v>0</v>
      </c>
      <c r="X261" s="282">
        <v>150000000</v>
      </c>
      <c r="Y261" s="282">
        <v>502000000</v>
      </c>
    </row>
    <row r="262" spans="1:25">
      <c r="A262" s="162"/>
      <c r="B262" s="180"/>
      <c r="C262" s="179"/>
      <c r="D262" s="179"/>
      <c r="E262" s="179"/>
      <c r="F262" s="179"/>
      <c r="G262" s="179"/>
      <c r="H262" s="179"/>
      <c r="I262" s="179"/>
      <c r="J262" s="179"/>
      <c r="K262" s="179"/>
      <c r="L262" s="179"/>
      <c r="M262" s="179"/>
      <c r="N262" s="179"/>
      <c r="O262" s="179"/>
      <c r="P262" s="179"/>
      <c r="Q262" s="179"/>
      <c r="R262" s="179"/>
      <c r="S262" s="180"/>
      <c r="T262" s="179"/>
      <c r="U262" s="170" t="s">
        <v>2312</v>
      </c>
      <c r="V262" s="165"/>
      <c r="W262" s="451">
        <v>0</v>
      </c>
      <c r="X262" s="282">
        <v>100000000</v>
      </c>
      <c r="Y262" s="282">
        <v>130000000</v>
      </c>
    </row>
    <row r="263" spans="1:25" ht="25.5">
      <c r="A263" s="162"/>
      <c r="B263" s="180"/>
      <c r="C263" s="179"/>
      <c r="D263" s="179"/>
      <c r="E263" s="179"/>
      <c r="F263" s="179"/>
      <c r="G263" s="179"/>
      <c r="H263" s="179"/>
      <c r="I263" s="179"/>
      <c r="J263" s="179"/>
      <c r="K263" s="179"/>
      <c r="L263" s="179"/>
      <c r="M263" s="179"/>
      <c r="N263" s="179"/>
      <c r="O263" s="179"/>
      <c r="P263" s="179"/>
      <c r="Q263" s="179"/>
      <c r="R263" s="179"/>
      <c r="S263" s="180"/>
      <c r="T263" s="179"/>
      <c r="U263" s="170" t="s">
        <v>2313</v>
      </c>
      <c r="V263" s="165"/>
      <c r="W263" s="451">
        <v>0</v>
      </c>
      <c r="X263" s="282">
        <v>90000000</v>
      </c>
      <c r="Y263" s="282"/>
    </row>
    <row r="264" spans="1:25" ht="25.5">
      <c r="A264" s="162"/>
      <c r="B264" s="180"/>
      <c r="C264" s="179"/>
      <c r="D264" s="179"/>
      <c r="E264" s="179"/>
      <c r="F264" s="179"/>
      <c r="G264" s="179"/>
      <c r="H264" s="179"/>
      <c r="I264" s="179"/>
      <c r="J264" s="179"/>
      <c r="K264" s="179"/>
      <c r="L264" s="179"/>
      <c r="M264" s="179"/>
      <c r="N264" s="179"/>
      <c r="O264" s="179"/>
      <c r="P264" s="179"/>
      <c r="Q264" s="179"/>
      <c r="R264" s="179"/>
      <c r="S264" s="180"/>
      <c r="T264" s="179"/>
      <c r="U264" s="170" t="s">
        <v>2172</v>
      </c>
      <c r="V264" s="165"/>
      <c r="W264" s="451">
        <v>1000000000</v>
      </c>
      <c r="X264" s="282"/>
      <c r="Y264" s="282"/>
    </row>
    <row r="265" spans="1:25" s="184" customFormat="1">
      <c r="A265" s="181"/>
      <c r="B265" s="182"/>
      <c r="C265" s="182"/>
      <c r="D265" s="182"/>
      <c r="E265" s="182"/>
      <c r="F265" s="182"/>
      <c r="G265" s="182"/>
      <c r="H265" s="182"/>
      <c r="I265" s="182"/>
      <c r="J265" s="182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3"/>
      <c r="V265" s="168">
        <f>SUM(V252:V263)</f>
        <v>2977051116.9250002</v>
      </c>
      <c r="W265" s="334">
        <f t="shared" ref="W265" si="105">SUM(W252:W264)</f>
        <v>3954100000</v>
      </c>
      <c r="X265" s="168">
        <f>SUM(X252:X263)</f>
        <v>1962843846.5</v>
      </c>
      <c r="Y265" s="168">
        <f>SUM(Y252:Y263)</f>
        <v>2601805000</v>
      </c>
    </row>
    <row r="267" spans="1:25">
      <c r="U267" s="185" t="s">
        <v>1218</v>
      </c>
    </row>
    <row r="268" spans="1:25" ht="15">
      <c r="U268" s="442" t="s">
        <v>2181</v>
      </c>
      <c r="V268" s="262">
        <v>3954100000</v>
      </c>
    </row>
    <row r="272" spans="1:25" ht="26.25">
      <c r="A272" s="187" t="s">
        <v>1241</v>
      </c>
      <c r="B272" s="187"/>
      <c r="C272" s="187"/>
      <c r="D272" s="187"/>
      <c r="E272" s="187"/>
      <c r="F272" s="187"/>
      <c r="G272" s="187"/>
      <c r="H272" s="187"/>
      <c r="I272" s="187"/>
      <c r="J272" s="187"/>
      <c r="K272" s="187"/>
      <c r="L272" s="187"/>
      <c r="M272" s="187"/>
      <c r="N272" s="187"/>
      <c r="O272" s="187"/>
      <c r="P272" s="187"/>
      <c r="Q272" s="187"/>
      <c r="R272" s="187"/>
      <c r="S272" s="187"/>
      <c r="T272" s="187"/>
      <c r="U272" s="187"/>
      <c r="V272" s="187"/>
      <c r="W272" s="356"/>
      <c r="X272" s="187"/>
      <c r="Y272" s="187"/>
    </row>
    <row r="273" spans="1:25">
      <c r="A273" s="162"/>
      <c r="B273" s="163"/>
      <c r="C273" s="163"/>
      <c r="D273" s="163"/>
      <c r="E273" s="163"/>
      <c r="F273" s="163"/>
      <c r="G273" s="163"/>
      <c r="H273" s="163"/>
      <c r="I273" s="163"/>
      <c r="J273" s="163"/>
      <c r="K273" s="163"/>
      <c r="L273" s="163"/>
      <c r="M273" s="163"/>
      <c r="N273" s="163"/>
      <c r="O273" s="163"/>
      <c r="P273" s="163"/>
      <c r="Q273" s="163"/>
      <c r="R273" s="163"/>
      <c r="S273" s="163"/>
      <c r="T273" s="163"/>
      <c r="U273" s="178" t="s">
        <v>1242</v>
      </c>
      <c r="V273" s="165"/>
      <c r="W273" s="451">
        <v>1933000</v>
      </c>
      <c r="X273" s="165"/>
      <c r="Y273" s="165"/>
    </row>
    <row r="274" spans="1:25" ht="25.5">
      <c r="A274" s="162"/>
      <c r="B274" s="163"/>
      <c r="C274" s="163"/>
      <c r="D274" s="163"/>
      <c r="E274" s="163"/>
      <c r="F274" s="163"/>
      <c r="G274" s="163"/>
      <c r="H274" s="163"/>
      <c r="I274" s="163"/>
      <c r="J274" s="163"/>
      <c r="K274" s="163"/>
      <c r="L274" s="163"/>
      <c r="M274" s="163"/>
      <c r="N274" s="163"/>
      <c r="O274" s="163"/>
      <c r="P274" s="163"/>
      <c r="Q274" s="163"/>
      <c r="R274" s="163"/>
      <c r="S274" s="163"/>
      <c r="T274" s="163"/>
      <c r="U274" s="178" t="s">
        <v>2314</v>
      </c>
      <c r="V274" s="165"/>
      <c r="W274" s="451">
        <v>31370000</v>
      </c>
      <c r="X274" s="366">
        <v>40000000</v>
      </c>
      <c r="Y274" s="366">
        <v>50000000</v>
      </c>
    </row>
    <row r="275" spans="1:25">
      <c r="A275" s="162"/>
      <c r="B275" s="163"/>
      <c r="C275" s="163"/>
      <c r="D275" s="163"/>
      <c r="E275" s="163"/>
      <c r="F275" s="163"/>
      <c r="G275" s="163"/>
      <c r="H275" s="163"/>
      <c r="I275" s="163"/>
      <c r="J275" s="163"/>
      <c r="K275" s="163"/>
      <c r="L275" s="163"/>
      <c r="M275" s="163"/>
      <c r="N275" s="163"/>
      <c r="O275" s="163"/>
      <c r="P275" s="163"/>
      <c r="Q275" s="163"/>
      <c r="R275" s="163"/>
      <c r="S275" s="163"/>
      <c r="T275" s="163"/>
      <c r="U275" s="178" t="s">
        <v>2315</v>
      </c>
      <c r="V275" s="165"/>
      <c r="W275" s="451">
        <v>200000000</v>
      </c>
      <c r="X275" s="366">
        <v>300000000</v>
      </c>
      <c r="Y275" s="366">
        <v>750000000</v>
      </c>
    </row>
    <row r="276" spans="1:25" ht="25.5">
      <c r="A276" s="162"/>
      <c r="B276" s="163"/>
      <c r="C276" s="163"/>
      <c r="D276" s="163"/>
      <c r="E276" s="163"/>
      <c r="F276" s="163"/>
      <c r="G276" s="163"/>
      <c r="H276" s="163"/>
      <c r="I276" s="163"/>
      <c r="J276" s="163"/>
      <c r="K276" s="163"/>
      <c r="L276" s="163"/>
      <c r="M276" s="163"/>
      <c r="N276" s="163"/>
      <c r="O276" s="163"/>
      <c r="P276" s="163"/>
      <c r="Q276" s="163"/>
      <c r="R276" s="163"/>
      <c r="S276" s="163"/>
      <c r="T276" s="163"/>
      <c r="U276" s="178" t="s">
        <v>2316</v>
      </c>
      <c r="V276" s="165"/>
      <c r="W276" s="451">
        <v>0</v>
      </c>
      <c r="X276" s="366"/>
      <c r="Y276" s="366">
        <v>40000000</v>
      </c>
    </row>
    <row r="277" spans="1:25" ht="25.5">
      <c r="A277" s="162"/>
      <c r="B277" s="163"/>
      <c r="C277" s="163"/>
      <c r="D277" s="163"/>
      <c r="E277" s="163"/>
      <c r="F277" s="163"/>
      <c r="G277" s="163"/>
      <c r="H277" s="163"/>
      <c r="I277" s="163"/>
      <c r="J277" s="163"/>
      <c r="K277" s="163"/>
      <c r="L277" s="163"/>
      <c r="M277" s="163"/>
      <c r="N277" s="163"/>
      <c r="O277" s="163"/>
      <c r="P277" s="163"/>
      <c r="Q277" s="163"/>
      <c r="R277" s="163"/>
      <c r="S277" s="163"/>
      <c r="T277" s="163"/>
      <c r="U277" s="178" t="s">
        <v>2317</v>
      </c>
      <c r="V277" s="165"/>
      <c r="W277" s="451">
        <v>45000000</v>
      </c>
      <c r="X277" s="366"/>
      <c r="Y277" s="366">
        <v>50000000</v>
      </c>
    </row>
    <row r="278" spans="1:25">
      <c r="A278" s="162"/>
      <c r="B278" s="163"/>
      <c r="C278" s="163"/>
      <c r="D278" s="163"/>
      <c r="E278" s="163"/>
      <c r="F278" s="163"/>
      <c r="G278" s="163"/>
      <c r="H278" s="163"/>
      <c r="I278" s="163"/>
      <c r="J278" s="163"/>
      <c r="K278" s="163"/>
      <c r="L278" s="163"/>
      <c r="M278" s="163"/>
      <c r="N278" s="163"/>
      <c r="O278" s="163"/>
      <c r="P278" s="163"/>
      <c r="Q278" s="163"/>
      <c r="R278" s="163"/>
      <c r="S278" s="163"/>
      <c r="T278" s="163"/>
      <c r="U278" s="178" t="s">
        <v>2318</v>
      </c>
      <c r="V278" s="165"/>
      <c r="W278" s="451">
        <v>0</v>
      </c>
      <c r="X278" s="366">
        <v>120000000</v>
      </c>
      <c r="Y278" s="366">
        <v>150000000</v>
      </c>
    </row>
    <row r="279" spans="1:25">
      <c r="A279" s="162"/>
      <c r="B279" s="163"/>
      <c r="C279" s="163"/>
      <c r="D279" s="163"/>
      <c r="E279" s="163"/>
      <c r="F279" s="163"/>
      <c r="G279" s="163"/>
      <c r="H279" s="163"/>
      <c r="I279" s="163"/>
      <c r="J279" s="163"/>
      <c r="K279" s="163"/>
      <c r="L279" s="163"/>
      <c r="M279" s="163"/>
      <c r="N279" s="163"/>
      <c r="O279" s="163"/>
      <c r="P279" s="163"/>
      <c r="Q279" s="163"/>
      <c r="R279" s="163"/>
      <c r="S279" s="163"/>
      <c r="T279" s="163"/>
      <c r="U279" s="178" t="s">
        <v>2319</v>
      </c>
      <c r="V279" s="165"/>
      <c r="W279" s="451">
        <v>70000000</v>
      </c>
      <c r="X279" s="366">
        <v>30000000</v>
      </c>
      <c r="Y279" s="366">
        <v>40000000</v>
      </c>
    </row>
    <row r="280" spans="1:25" ht="25.5">
      <c r="A280" s="162"/>
      <c r="B280" s="163"/>
      <c r="C280" s="163"/>
      <c r="D280" s="163"/>
      <c r="E280" s="163"/>
      <c r="F280" s="163"/>
      <c r="G280" s="163"/>
      <c r="H280" s="163"/>
      <c r="I280" s="163"/>
      <c r="J280" s="163"/>
      <c r="K280" s="163"/>
      <c r="L280" s="163"/>
      <c r="M280" s="163"/>
      <c r="N280" s="163"/>
      <c r="O280" s="163"/>
      <c r="P280" s="163"/>
      <c r="Q280" s="163"/>
      <c r="R280" s="163"/>
      <c r="S280" s="163"/>
      <c r="T280" s="163"/>
      <c r="U280" s="178" t="s">
        <v>2320</v>
      </c>
      <c r="V280" s="165"/>
      <c r="W280" s="451">
        <v>0</v>
      </c>
      <c r="X280" s="434"/>
      <c r="Y280" s="366">
        <v>100000000</v>
      </c>
    </row>
    <row r="281" spans="1:25">
      <c r="A281" s="162"/>
      <c r="B281" s="163"/>
      <c r="C281" s="163"/>
      <c r="D281" s="163"/>
      <c r="E281" s="163"/>
      <c r="F281" s="163"/>
      <c r="G281" s="163"/>
      <c r="H281" s="163"/>
      <c r="I281" s="163"/>
      <c r="J281" s="163"/>
      <c r="K281" s="163"/>
      <c r="L281" s="163"/>
      <c r="M281" s="163"/>
      <c r="N281" s="163"/>
      <c r="O281" s="163"/>
      <c r="P281" s="163"/>
      <c r="Q281" s="163"/>
      <c r="R281" s="163"/>
      <c r="S281" s="163"/>
      <c r="T281" s="163"/>
      <c r="U281" s="178" t="s">
        <v>2321</v>
      </c>
      <c r="V281" s="165"/>
      <c r="W281" s="451">
        <v>0</v>
      </c>
      <c r="X281" s="366">
        <v>10000000</v>
      </c>
      <c r="Y281" s="366">
        <v>10000000</v>
      </c>
    </row>
    <row r="282" spans="1:25">
      <c r="A282" s="162"/>
      <c r="B282" s="163"/>
      <c r="C282" s="163"/>
      <c r="D282" s="163"/>
      <c r="E282" s="163"/>
      <c r="F282" s="163"/>
      <c r="G282" s="163"/>
      <c r="H282" s="163"/>
      <c r="I282" s="163"/>
      <c r="J282" s="163"/>
      <c r="K282" s="163"/>
      <c r="L282" s="163"/>
      <c r="M282" s="163"/>
      <c r="N282" s="163"/>
      <c r="O282" s="163"/>
      <c r="P282" s="163"/>
      <c r="Q282" s="163"/>
      <c r="R282" s="163"/>
      <c r="S282" s="163"/>
      <c r="T282" s="163"/>
      <c r="U282" s="178" t="s">
        <v>1244</v>
      </c>
      <c r="V282" s="165"/>
      <c r="W282" s="451">
        <v>25000000</v>
      </c>
      <c r="X282" s="366">
        <v>30000000</v>
      </c>
      <c r="Y282" s="366">
        <v>50000000</v>
      </c>
    </row>
    <row r="283" spans="1:25" ht="38.25">
      <c r="A283" s="162"/>
      <c r="B283" s="163"/>
      <c r="C283" s="163"/>
      <c r="D283" s="163"/>
      <c r="E283" s="163"/>
      <c r="F283" s="163"/>
      <c r="G283" s="163"/>
      <c r="H283" s="163"/>
      <c r="I283" s="163"/>
      <c r="J283" s="163"/>
      <c r="K283" s="163"/>
      <c r="L283" s="163"/>
      <c r="M283" s="163"/>
      <c r="N283" s="163"/>
      <c r="O283" s="163"/>
      <c r="P283" s="163"/>
      <c r="Q283" s="163"/>
      <c r="R283" s="163"/>
      <c r="S283" s="163"/>
      <c r="T283" s="163"/>
      <c r="U283" s="178" t="s">
        <v>2322</v>
      </c>
      <c r="V283" s="165"/>
      <c r="W283" s="451">
        <v>0</v>
      </c>
      <c r="X283" s="366">
        <v>500000000</v>
      </c>
      <c r="Y283" s="366">
        <v>800000000</v>
      </c>
    </row>
    <row r="284" spans="1:25">
      <c r="A284" s="162"/>
      <c r="B284" s="163"/>
      <c r="C284" s="163"/>
      <c r="D284" s="163"/>
      <c r="E284" s="163"/>
      <c r="F284" s="163"/>
      <c r="G284" s="163"/>
      <c r="H284" s="163"/>
      <c r="I284" s="163"/>
      <c r="J284" s="163"/>
      <c r="K284" s="163"/>
      <c r="L284" s="163"/>
      <c r="M284" s="163"/>
      <c r="N284" s="163"/>
      <c r="O284" s="163"/>
      <c r="P284" s="163"/>
      <c r="Q284" s="163"/>
      <c r="R284" s="163"/>
      <c r="S284" s="163"/>
      <c r="T284" s="163"/>
      <c r="U284" s="178" t="s">
        <v>1245</v>
      </c>
      <c r="V284" s="165"/>
      <c r="W284" s="451">
        <v>52050000</v>
      </c>
      <c r="X284" s="165"/>
      <c r="Y284" s="165"/>
    </row>
    <row r="285" spans="1:25" ht="25.5">
      <c r="A285" s="162"/>
      <c r="B285" s="163"/>
      <c r="C285" s="163"/>
      <c r="D285" s="163"/>
      <c r="E285" s="163"/>
      <c r="F285" s="163"/>
      <c r="G285" s="163"/>
      <c r="H285" s="163"/>
      <c r="I285" s="163"/>
      <c r="J285" s="163"/>
      <c r="K285" s="163"/>
      <c r="L285" s="163"/>
      <c r="M285" s="163"/>
      <c r="N285" s="163"/>
      <c r="O285" s="163"/>
      <c r="P285" s="163"/>
      <c r="Q285" s="163"/>
      <c r="R285" s="163"/>
      <c r="S285" s="163"/>
      <c r="T285" s="163"/>
      <c r="U285" s="178" t="s">
        <v>2323</v>
      </c>
      <c r="V285" s="165"/>
      <c r="W285" s="451">
        <v>0</v>
      </c>
      <c r="X285" s="165"/>
      <c r="Y285" s="165"/>
    </row>
    <row r="286" spans="1:25" ht="25.5">
      <c r="A286" s="162"/>
      <c r="B286" s="163"/>
      <c r="C286" s="163"/>
      <c r="D286" s="163"/>
      <c r="E286" s="163"/>
      <c r="F286" s="163"/>
      <c r="G286" s="163"/>
      <c r="H286" s="163"/>
      <c r="I286" s="163"/>
      <c r="J286" s="163"/>
      <c r="K286" s="163"/>
      <c r="L286" s="163"/>
      <c r="M286" s="163"/>
      <c r="N286" s="163"/>
      <c r="O286" s="163"/>
      <c r="P286" s="163"/>
      <c r="Q286" s="163"/>
      <c r="R286" s="163"/>
      <c r="S286" s="163"/>
      <c r="T286" s="163"/>
      <c r="U286" s="178" t="s">
        <v>2324</v>
      </c>
      <c r="V286" s="165"/>
      <c r="W286" s="451">
        <v>0</v>
      </c>
      <c r="X286" s="366">
        <v>10000000</v>
      </c>
      <c r="Y286" s="165"/>
    </row>
    <row r="287" spans="1:25">
      <c r="A287" s="162"/>
      <c r="B287" s="163"/>
      <c r="C287" s="163"/>
      <c r="D287" s="163"/>
      <c r="E287" s="163"/>
      <c r="F287" s="163"/>
      <c r="G287" s="163"/>
      <c r="H287" s="163"/>
      <c r="I287" s="163"/>
      <c r="J287" s="163"/>
      <c r="K287" s="163"/>
      <c r="L287" s="163"/>
      <c r="M287" s="163"/>
      <c r="N287" s="163"/>
      <c r="O287" s="163"/>
      <c r="P287" s="163"/>
      <c r="Q287" s="163"/>
      <c r="R287" s="163"/>
      <c r="S287" s="163"/>
      <c r="T287" s="163"/>
      <c r="U287" s="178" t="s">
        <v>2173</v>
      </c>
      <c r="V287" s="165"/>
      <c r="W287" s="451">
        <v>1200000000</v>
      </c>
      <c r="X287" s="165">
        <v>1200000000</v>
      </c>
      <c r="Y287" s="165">
        <v>3000000000</v>
      </c>
    </row>
    <row r="288" spans="1:25" ht="25.5">
      <c r="A288" s="162"/>
      <c r="B288" s="163"/>
      <c r="C288" s="163"/>
      <c r="D288" s="163"/>
      <c r="E288" s="163"/>
      <c r="F288" s="163"/>
      <c r="G288" s="163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63"/>
      <c r="T288" s="163"/>
      <c r="U288" s="178" t="s">
        <v>2325</v>
      </c>
      <c r="V288" s="165"/>
      <c r="W288" s="451">
        <v>0</v>
      </c>
      <c r="X288" s="165"/>
      <c r="Y288" s="165"/>
    </row>
    <row r="289" spans="1:25">
      <c r="A289" s="162"/>
      <c r="B289" s="163"/>
      <c r="C289" s="163"/>
      <c r="D289" s="163"/>
      <c r="E289" s="163"/>
      <c r="F289" s="163"/>
      <c r="G289" s="163"/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63"/>
      <c r="T289" s="163"/>
      <c r="U289" s="178" t="s">
        <v>2326</v>
      </c>
      <c r="V289" s="165"/>
      <c r="W289" s="451">
        <v>0</v>
      </c>
      <c r="X289" s="165"/>
      <c r="Y289" s="165"/>
    </row>
    <row r="290" spans="1:25">
      <c r="A290" s="162"/>
      <c r="B290" s="163"/>
      <c r="C290" s="163"/>
      <c r="D290" s="163"/>
      <c r="E290" s="163"/>
      <c r="F290" s="163"/>
      <c r="G290" s="163"/>
      <c r="H290" s="163"/>
      <c r="I290" s="163"/>
      <c r="J290" s="163"/>
      <c r="K290" s="163"/>
      <c r="L290" s="163"/>
      <c r="M290" s="163"/>
      <c r="N290" s="163"/>
      <c r="O290" s="163"/>
      <c r="P290" s="163"/>
      <c r="Q290" s="163"/>
      <c r="R290" s="163"/>
      <c r="S290" s="163"/>
      <c r="T290" s="163"/>
      <c r="U290" s="178" t="s">
        <v>1239</v>
      </c>
      <c r="V290" s="165"/>
      <c r="W290" s="451">
        <v>1500000000</v>
      </c>
      <c r="X290" s="366">
        <v>3000000000</v>
      </c>
      <c r="Y290" s="366">
        <v>4000000000</v>
      </c>
    </row>
    <row r="291" spans="1:25">
      <c r="A291" s="162"/>
      <c r="B291" s="163"/>
      <c r="C291" s="163"/>
      <c r="D291" s="163"/>
      <c r="E291" s="163"/>
      <c r="F291" s="163"/>
      <c r="G291" s="163"/>
      <c r="H291" s="163"/>
      <c r="I291" s="163"/>
      <c r="J291" s="163"/>
      <c r="K291" s="163"/>
      <c r="L291" s="163"/>
      <c r="M291" s="163"/>
      <c r="N291" s="163"/>
      <c r="O291" s="163"/>
      <c r="P291" s="163"/>
      <c r="Q291" s="163"/>
      <c r="R291" s="163"/>
      <c r="S291" s="163"/>
      <c r="T291" s="163"/>
      <c r="U291" s="178" t="s">
        <v>2095</v>
      </c>
      <c r="V291" s="165"/>
      <c r="W291" s="451">
        <v>0</v>
      </c>
      <c r="X291" s="366">
        <v>10000000000</v>
      </c>
      <c r="Y291" s="366">
        <v>12000000000</v>
      </c>
    </row>
    <row r="292" spans="1:25" s="184" customFormat="1">
      <c r="A292" s="181"/>
      <c r="B292" s="182"/>
      <c r="C292" s="182"/>
      <c r="D292" s="182"/>
      <c r="E292" s="182"/>
      <c r="F292" s="182"/>
      <c r="G292" s="182"/>
      <c r="H292" s="182"/>
      <c r="I292" s="182"/>
      <c r="J292" s="182"/>
      <c r="K292" s="182"/>
      <c r="L292" s="182"/>
      <c r="M292" s="182"/>
      <c r="N292" s="182"/>
      <c r="O292" s="182"/>
      <c r="P292" s="182"/>
      <c r="Q292" s="182"/>
      <c r="R292" s="182"/>
      <c r="S292" s="182"/>
      <c r="T292" s="182"/>
      <c r="U292" s="183"/>
      <c r="V292" s="168">
        <f>SUM(V273:V291)</f>
        <v>0</v>
      </c>
      <c r="W292" s="334">
        <f t="shared" ref="W292:Y292" si="106">SUM(W273:W291)</f>
        <v>3125353000</v>
      </c>
      <c r="X292" s="168">
        <f t="shared" si="106"/>
        <v>15240000000</v>
      </c>
      <c r="Y292" s="168">
        <f t="shared" si="106"/>
        <v>21040000000</v>
      </c>
    </row>
    <row r="294" spans="1:25">
      <c r="U294" s="185" t="s">
        <v>1218</v>
      </c>
    </row>
    <row r="295" spans="1:25">
      <c r="U295" s="185" t="s">
        <v>2130</v>
      </c>
      <c r="V295" s="262"/>
    </row>
    <row r="296" spans="1:25">
      <c r="U296" s="185" t="s">
        <v>1243</v>
      </c>
      <c r="V296" s="262">
        <v>200000000</v>
      </c>
    </row>
    <row r="297" spans="1:25">
      <c r="U297" s="185" t="s">
        <v>2079</v>
      </c>
      <c r="V297" s="357">
        <v>1200000000</v>
      </c>
    </row>
    <row r="298" spans="1:25">
      <c r="U298" s="185"/>
      <c r="V298" s="262">
        <f>SUM(V296:V297)</f>
        <v>1400000000</v>
      </c>
    </row>
    <row r="299" spans="1:25">
      <c r="U299" s="185"/>
      <c r="V299" s="262"/>
    </row>
    <row r="300" spans="1:25">
      <c r="U300" s="185" t="s">
        <v>2080</v>
      </c>
      <c r="V300" s="262">
        <v>1500000000</v>
      </c>
    </row>
    <row r="301" spans="1:25">
      <c r="U301" s="185"/>
      <c r="V301" s="262"/>
    </row>
    <row r="302" spans="1:25" s="184" customFormat="1" ht="15">
      <c r="A302" s="204"/>
      <c r="U302" s="442" t="s">
        <v>2181</v>
      </c>
      <c r="V302" s="262">
        <v>225353002</v>
      </c>
      <c r="W302" s="355"/>
      <c r="X302" s="262"/>
      <c r="Y302" s="262"/>
    </row>
    <row r="303" spans="1:25" s="184" customFormat="1">
      <c r="A303" s="204"/>
      <c r="U303" s="190"/>
      <c r="W303" s="355"/>
      <c r="X303" s="262"/>
      <c r="Y303" s="262"/>
    </row>
    <row r="304" spans="1:25" s="184" customFormat="1">
      <c r="A304" s="204"/>
      <c r="U304" s="190"/>
      <c r="V304" s="262"/>
      <c r="W304" s="355"/>
      <c r="X304" s="262"/>
      <c r="Y304" s="262"/>
    </row>
    <row r="305" spans="1:25" s="184" customFormat="1">
      <c r="A305" s="204"/>
      <c r="U305" s="190"/>
      <c r="V305" s="262"/>
      <c r="W305" s="355"/>
      <c r="X305" s="262"/>
      <c r="Y305" s="262"/>
    </row>
    <row r="306" spans="1:25" ht="26.25">
      <c r="A306" s="175" t="s">
        <v>132</v>
      </c>
      <c r="B306" s="176"/>
      <c r="C306" s="176"/>
      <c r="D306" s="176"/>
      <c r="E306" s="176"/>
      <c r="F306" s="176"/>
      <c r="G306" s="176"/>
      <c r="H306" s="176"/>
      <c r="I306" s="176"/>
      <c r="J306" s="176"/>
      <c r="K306" s="176"/>
      <c r="L306" s="176"/>
      <c r="M306" s="176"/>
      <c r="N306" s="176"/>
      <c r="O306" s="176"/>
      <c r="P306" s="176"/>
      <c r="Q306" s="176"/>
      <c r="R306" s="176"/>
      <c r="S306" s="176"/>
      <c r="T306" s="176"/>
      <c r="U306" s="176"/>
      <c r="V306" s="176"/>
      <c r="W306" s="345"/>
      <c r="X306" s="176"/>
      <c r="Y306" s="176"/>
    </row>
    <row r="307" spans="1:25" ht="25.5">
      <c r="A307" s="162"/>
      <c r="B307" s="163"/>
      <c r="C307" s="163"/>
      <c r="D307" s="163"/>
      <c r="E307" s="163"/>
      <c r="F307" s="163"/>
      <c r="G307" s="163"/>
      <c r="H307" s="163"/>
      <c r="I307" s="163"/>
      <c r="J307" s="163"/>
      <c r="K307" s="163"/>
      <c r="L307" s="163"/>
      <c r="M307" s="163"/>
      <c r="N307" s="163"/>
      <c r="O307" s="163"/>
      <c r="P307" s="163"/>
      <c r="Q307" s="163"/>
      <c r="R307" s="163"/>
      <c r="S307" s="163"/>
      <c r="T307" s="163"/>
      <c r="U307" s="178" t="s">
        <v>2327</v>
      </c>
      <c r="V307" s="165">
        <v>70000000</v>
      </c>
      <c r="W307" s="451">
        <v>50630000</v>
      </c>
      <c r="X307" s="165"/>
      <c r="Y307" s="165"/>
    </row>
    <row r="308" spans="1:25" ht="38.25">
      <c r="A308" s="162"/>
      <c r="B308" s="163"/>
      <c r="C308" s="163"/>
      <c r="D308" s="163"/>
      <c r="E308" s="163"/>
      <c r="F308" s="163"/>
      <c r="G308" s="163"/>
      <c r="H308" s="163"/>
      <c r="I308" s="163"/>
      <c r="J308" s="163"/>
      <c r="K308" s="163"/>
      <c r="L308" s="163"/>
      <c r="M308" s="163"/>
      <c r="N308" s="163"/>
      <c r="O308" s="163"/>
      <c r="P308" s="163"/>
      <c r="Q308" s="163"/>
      <c r="R308" s="163"/>
      <c r="S308" s="163"/>
      <c r="T308" s="163"/>
      <c r="U308" s="178" t="s">
        <v>2328</v>
      </c>
      <c r="V308" s="165">
        <v>965000000</v>
      </c>
      <c r="W308" s="451">
        <v>97105000</v>
      </c>
      <c r="X308" s="165"/>
      <c r="Y308" s="165"/>
    </row>
    <row r="309" spans="1:25" ht="25.5">
      <c r="A309" s="162"/>
      <c r="B309" s="163"/>
      <c r="C309" s="163"/>
      <c r="D309" s="163"/>
      <c r="E309" s="163"/>
      <c r="F309" s="163"/>
      <c r="G309" s="163"/>
      <c r="H309" s="163"/>
      <c r="I309" s="163"/>
      <c r="J309" s="163"/>
      <c r="K309" s="163"/>
      <c r="L309" s="163"/>
      <c r="M309" s="163"/>
      <c r="N309" s="163"/>
      <c r="O309" s="163"/>
      <c r="P309" s="163"/>
      <c r="Q309" s="163"/>
      <c r="R309" s="163"/>
      <c r="S309" s="163"/>
      <c r="T309" s="163"/>
      <c r="U309" s="178" t="s">
        <v>2330</v>
      </c>
      <c r="V309" s="165">
        <v>19998502.649999999</v>
      </c>
      <c r="W309" s="451">
        <v>0</v>
      </c>
      <c r="X309" s="165"/>
      <c r="Y309" s="165"/>
    </row>
    <row r="310" spans="1:25" ht="25.5">
      <c r="A310" s="162"/>
      <c r="B310" s="163"/>
      <c r="C310" s="163"/>
      <c r="D310" s="163"/>
      <c r="E310" s="163"/>
      <c r="F310" s="163"/>
      <c r="G310" s="163"/>
      <c r="H310" s="163"/>
      <c r="I310" s="163"/>
      <c r="J310" s="163"/>
      <c r="K310" s="163"/>
      <c r="L310" s="163"/>
      <c r="M310" s="163"/>
      <c r="N310" s="163"/>
      <c r="O310" s="163"/>
      <c r="P310" s="163"/>
      <c r="Q310" s="163"/>
      <c r="R310" s="163"/>
      <c r="S310" s="163"/>
      <c r="T310" s="163"/>
      <c r="U310" s="178" t="s">
        <v>2331</v>
      </c>
      <c r="V310" s="165">
        <v>19998502.649999999</v>
      </c>
      <c r="W310" s="451">
        <v>0</v>
      </c>
      <c r="X310" s="165"/>
      <c r="Y310" s="165"/>
    </row>
    <row r="311" spans="1:25" ht="25.5">
      <c r="A311" s="162"/>
      <c r="B311" s="163"/>
      <c r="C311" s="163"/>
      <c r="D311" s="163"/>
      <c r="E311" s="163"/>
      <c r="F311" s="163"/>
      <c r="G311" s="163"/>
      <c r="H311" s="163"/>
      <c r="I311" s="163"/>
      <c r="J311" s="163"/>
      <c r="K311" s="163"/>
      <c r="L311" s="163"/>
      <c r="M311" s="163"/>
      <c r="N311" s="163"/>
      <c r="O311" s="163"/>
      <c r="P311" s="163"/>
      <c r="Q311" s="163"/>
      <c r="R311" s="163"/>
      <c r="S311" s="163"/>
      <c r="T311" s="163"/>
      <c r="U311" s="178" t="s">
        <v>2329</v>
      </c>
      <c r="V311" s="165">
        <v>19998502.649999999</v>
      </c>
      <c r="W311" s="451">
        <v>0</v>
      </c>
      <c r="X311" s="366">
        <v>20000000</v>
      </c>
      <c r="Y311" s="366"/>
    </row>
    <row r="312" spans="1:25" ht="25.5">
      <c r="A312" s="162"/>
      <c r="B312" s="163"/>
      <c r="C312" s="163"/>
      <c r="D312" s="163"/>
      <c r="E312" s="163"/>
      <c r="F312" s="163"/>
      <c r="G312" s="163"/>
      <c r="H312" s="163"/>
      <c r="I312" s="163"/>
      <c r="J312" s="163"/>
      <c r="K312" s="163"/>
      <c r="L312" s="163"/>
      <c r="M312" s="163"/>
      <c r="N312" s="163"/>
      <c r="O312" s="163"/>
      <c r="P312" s="163"/>
      <c r="Q312" s="163"/>
      <c r="R312" s="163"/>
      <c r="S312" s="163"/>
      <c r="T312" s="163"/>
      <c r="U312" s="178" t="s">
        <v>2333</v>
      </c>
      <c r="V312" s="165">
        <v>50000000</v>
      </c>
      <c r="W312" s="451">
        <v>0</v>
      </c>
      <c r="X312" s="165"/>
      <c r="Y312" s="165"/>
    </row>
    <row r="313" spans="1:25" ht="25.5">
      <c r="A313" s="162"/>
      <c r="B313" s="163"/>
      <c r="C313" s="163"/>
      <c r="D313" s="163"/>
      <c r="E313" s="163"/>
      <c r="F313" s="163"/>
      <c r="G313" s="163"/>
      <c r="H313" s="163"/>
      <c r="I313" s="163"/>
      <c r="J313" s="163"/>
      <c r="K313" s="163"/>
      <c r="L313" s="163"/>
      <c r="M313" s="163"/>
      <c r="N313" s="163"/>
      <c r="O313" s="163"/>
      <c r="P313" s="163"/>
      <c r="Q313" s="163"/>
      <c r="R313" s="163"/>
      <c r="S313" s="163"/>
      <c r="T313" s="163"/>
      <c r="U313" s="178" t="s">
        <v>2332</v>
      </c>
      <c r="V313" s="165">
        <v>19466275</v>
      </c>
      <c r="W313" s="451">
        <v>0</v>
      </c>
      <c r="X313" s="165"/>
      <c r="Y313" s="165"/>
    </row>
    <row r="314" spans="1:25">
      <c r="A314" s="162"/>
      <c r="B314" s="163"/>
      <c r="C314" s="163"/>
      <c r="D314" s="163"/>
      <c r="E314" s="163"/>
      <c r="F314" s="163"/>
      <c r="G314" s="163"/>
      <c r="H314" s="163"/>
      <c r="I314" s="163"/>
      <c r="J314" s="163"/>
      <c r="K314" s="163"/>
      <c r="L314" s="163"/>
      <c r="M314" s="163"/>
      <c r="N314" s="163"/>
      <c r="O314" s="163"/>
      <c r="P314" s="163"/>
      <c r="Q314" s="163"/>
      <c r="R314" s="163"/>
      <c r="S314" s="163"/>
      <c r="T314" s="163"/>
      <c r="U314" s="178" t="s">
        <v>2334</v>
      </c>
      <c r="V314" s="165">
        <v>18300000</v>
      </c>
      <c r="W314" s="451">
        <v>0</v>
      </c>
      <c r="X314" s="165"/>
      <c r="Y314" s="165"/>
    </row>
    <row r="315" spans="1:25" ht="25.5">
      <c r="A315" s="162"/>
      <c r="B315" s="163"/>
      <c r="C315" s="163"/>
      <c r="D315" s="163"/>
      <c r="E315" s="163"/>
      <c r="F315" s="163"/>
      <c r="G315" s="163"/>
      <c r="H315" s="163"/>
      <c r="I315" s="163"/>
      <c r="J315" s="163"/>
      <c r="K315" s="163"/>
      <c r="L315" s="163"/>
      <c r="M315" s="163"/>
      <c r="N315" s="163"/>
      <c r="O315" s="163"/>
      <c r="P315" s="163"/>
      <c r="Q315" s="163"/>
      <c r="R315" s="163"/>
      <c r="S315" s="163"/>
      <c r="T315" s="163"/>
      <c r="U315" s="178" t="s">
        <v>2335</v>
      </c>
      <c r="V315" s="165">
        <v>38500000</v>
      </c>
      <c r="W315" s="451">
        <v>77477594.060000002</v>
      </c>
      <c r="X315" s="165"/>
      <c r="Y315" s="165"/>
    </row>
    <row r="316" spans="1:25" ht="25.5">
      <c r="A316" s="162"/>
      <c r="B316" s="163"/>
      <c r="C316" s="163"/>
      <c r="D316" s="163"/>
      <c r="E316" s="163"/>
      <c r="F316" s="163"/>
      <c r="G316" s="163"/>
      <c r="H316" s="163"/>
      <c r="I316" s="163"/>
      <c r="J316" s="163"/>
      <c r="K316" s="163"/>
      <c r="L316" s="163"/>
      <c r="M316" s="163"/>
      <c r="N316" s="163"/>
      <c r="O316" s="163"/>
      <c r="P316" s="163"/>
      <c r="Q316" s="163"/>
      <c r="R316" s="163"/>
      <c r="S316" s="163"/>
      <c r="T316" s="163"/>
      <c r="U316" s="178" t="s">
        <v>2336</v>
      </c>
      <c r="V316" s="165">
        <v>111636289</v>
      </c>
      <c r="W316" s="451">
        <v>0</v>
      </c>
      <c r="X316" s="165"/>
      <c r="Y316" s="165"/>
    </row>
    <row r="317" spans="1:25" ht="25.5">
      <c r="A317" s="162"/>
      <c r="B317" s="163"/>
      <c r="C317" s="163"/>
      <c r="D317" s="163"/>
      <c r="E317" s="163"/>
      <c r="F317" s="163"/>
      <c r="G317" s="163"/>
      <c r="H317" s="163"/>
      <c r="I317" s="163"/>
      <c r="J317" s="163"/>
      <c r="K317" s="163"/>
      <c r="L317" s="163"/>
      <c r="M317" s="163"/>
      <c r="N317" s="163"/>
      <c r="O317" s="163"/>
      <c r="P317" s="163"/>
      <c r="Q317" s="163"/>
      <c r="R317" s="163"/>
      <c r="S317" s="163"/>
      <c r="T317" s="163"/>
      <c r="U317" s="178" t="s">
        <v>2337</v>
      </c>
      <c r="V317" s="165">
        <v>20000000</v>
      </c>
      <c r="W317" s="451">
        <v>0</v>
      </c>
      <c r="X317" s="165"/>
      <c r="Y317" s="165"/>
    </row>
    <row r="318" spans="1:25">
      <c r="A318" s="162"/>
      <c r="B318" s="163"/>
      <c r="C318" s="163"/>
      <c r="D318" s="163"/>
      <c r="E318" s="163"/>
      <c r="F318" s="163"/>
      <c r="G318" s="163"/>
      <c r="H318" s="163"/>
      <c r="I318" s="163"/>
      <c r="J318" s="163"/>
      <c r="K318" s="163"/>
      <c r="L318" s="163"/>
      <c r="M318" s="163"/>
      <c r="N318" s="163"/>
      <c r="O318" s="163"/>
      <c r="P318" s="163"/>
      <c r="Q318" s="163"/>
      <c r="R318" s="163"/>
      <c r="S318" s="163"/>
      <c r="T318" s="163"/>
      <c r="U318" s="178" t="s">
        <v>2338</v>
      </c>
      <c r="V318" s="165">
        <v>150000000</v>
      </c>
      <c r="W318" s="451">
        <v>435810119.82999998</v>
      </c>
      <c r="X318" s="165"/>
      <c r="Y318" s="165"/>
    </row>
    <row r="319" spans="1:25">
      <c r="A319" s="162"/>
      <c r="B319" s="163"/>
      <c r="C319" s="163"/>
      <c r="D319" s="163"/>
      <c r="E319" s="163"/>
      <c r="F319" s="163"/>
      <c r="G319" s="163"/>
      <c r="H319" s="163"/>
      <c r="I319" s="163"/>
      <c r="J319" s="163"/>
      <c r="K319" s="163"/>
      <c r="L319" s="163"/>
      <c r="M319" s="163"/>
      <c r="N319" s="163"/>
      <c r="O319" s="163"/>
      <c r="P319" s="163"/>
      <c r="Q319" s="163"/>
      <c r="R319" s="163"/>
      <c r="S319" s="163"/>
      <c r="T319" s="163"/>
      <c r="U319" s="178" t="s">
        <v>72</v>
      </c>
      <c r="V319" s="165">
        <v>1000000000</v>
      </c>
      <c r="W319" s="451">
        <v>1300030000</v>
      </c>
      <c r="X319" s="165"/>
      <c r="Y319" s="165"/>
    </row>
    <row r="320" spans="1:25">
      <c r="A320" s="162"/>
      <c r="B320" s="163"/>
      <c r="C320" s="163"/>
      <c r="D320" s="163"/>
      <c r="E320" s="163"/>
      <c r="F320" s="163"/>
      <c r="G320" s="163"/>
      <c r="H320" s="163"/>
      <c r="I320" s="163"/>
      <c r="J320" s="163"/>
      <c r="K320" s="163"/>
      <c r="L320" s="163"/>
      <c r="M320" s="163"/>
      <c r="N320" s="163"/>
      <c r="O320" s="163"/>
      <c r="P320" s="163"/>
      <c r="Q320" s="163"/>
      <c r="R320" s="163"/>
      <c r="S320" s="163"/>
      <c r="T320" s="163"/>
      <c r="U320" s="178" t="s">
        <v>1246</v>
      </c>
      <c r="V320" s="165">
        <v>500000000</v>
      </c>
      <c r="W320" s="451">
        <v>500090000</v>
      </c>
      <c r="X320" s="366">
        <v>500000000</v>
      </c>
      <c r="Y320" s="366">
        <v>500000000</v>
      </c>
    </row>
    <row r="321" spans="1:25">
      <c r="A321" s="162"/>
      <c r="B321" s="163"/>
      <c r="C321" s="163"/>
      <c r="D321" s="163"/>
      <c r="E321" s="163"/>
      <c r="F321" s="163"/>
      <c r="G321" s="163"/>
      <c r="H321" s="163"/>
      <c r="I321" s="163"/>
      <c r="J321" s="163"/>
      <c r="K321" s="163"/>
      <c r="L321" s="163"/>
      <c r="M321" s="163"/>
      <c r="N321" s="163"/>
      <c r="O321" s="163"/>
      <c r="P321" s="163"/>
      <c r="Q321" s="163"/>
      <c r="R321" s="163"/>
      <c r="S321" s="163"/>
      <c r="T321" s="163"/>
      <c r="U321" s="178" t="s">
        <v>1247</v>
      </c>
      <c r="V321" s="165">
        <v>10000000000</v>
      </c>
      <c r="W321" s="451">
        <v>4000315000</v>
      </c>
      <c r="X321" s="366">
        <v>5000000000</v>
      </c>
      <c r="Y321" s="366">
        <v>5000000000</v>
      </c>
    </row>
    <row r="322" spans="1:25">
      <c r="A322" s="162"/>
      <c r="B322" s="163"/>
      <c r="C322" s="163"/>
      <c r="D322" s="163"/>
      <c r="E322" s="163"/>
      <c r="F322" s="163"/>
      <c r="G322" s="163"/>
      <c r="H322" s="163"/>
      <c r="I322" s="163"/>
      <c r="J322" s="163"/>
      <c r="K322" s="163"/>
      <c r="L322" s="163"/>
      <c r="M322" s="163"/>
      <c r="N322" s="163"/>
      <c r="O322" s="163"/>
      <c r="P322" s="163"/>
      <c r="Q322" s="163"/>
      <c r="R322" s="163"/>
      <c r="S322" s="163"/>
      <c r="T322" s="163"/>
      <c r="U322" s="178" t="s">
        <v>1248</v>
      </c>
      <c r="V322" s="165">
        <v>600000000</v>
      </c>
      <c r="W322" s="451">
        <v>400000000</v>
      </c>
      <c r="X322" s="366">
        <v>600000000</v>
      </c>
      <c r="Y322" s="366">
        <v>300000000</v>
      </c>
    </row>
    <row r="323" spans="1:25">
      <c r="A323" s="162"/>
      <c r="B323" s="163"/>
      <c r="C323" s="163"/>
      <c r="D323" s="163"/>
      <c r="E323" s="163"/>
      <c r="F323" s="163"/>
      <c r="G323" s="163"/>
      <c r="H323" s="163"/>
      <c r="I323" s="163"/>
      <c r="J323" s="163"/>
      <c r="K323" s="163"/>
      <c r="L323" s="163"/>
      <c r="M323" s="163"/>
      <c r="N323" s="163"/>
      <c r="O323" s="163"/>
      <c r="P323" s="163"/>
      <c r="Q323" s="163"/>
      <c r="R323" s="163"/>
      <c r="S323" s="163"/>
      <c r="T323" s="163"/>
      <c r="U323" s="178" t="s">
        <v>2339</v>
      </c>
      <c r="V323" s="165">
        <v>500000000</v>
      </c>
      <c r="W323" s="451">
        <v>150000000</v>
      </c>
      <c r="X323" s="165"/>
      <c r="Y323" s="165"/>
    </row>
    <row r="324" spans="1:25">
      <c r="A324" s="162"/>
      <c r="B324" s="163"/>
      <c r="C324" s="163"/>
      <c r="D324" s="163"/>
      <c r="E324" s="163"/>
      <c r="F324" s="163"/>
      <c r="G324" s="163"/>
      <c r="H324" s="163"/>
      <c r="I324" s="163"/>
      <c r="J324" s="163"/>
      <c r="K324" s="163"/>
      <c r="L324" s="163"/>
      <c r="M324" s="163"/>
      <c r="N324" s="163"/>
      <c r="O324" s="163"/>
      <c r="P324" s="163"/>
      <c r="Q324" s="163"/>
      <c r="R324" s="163"/>
      <c r="S324" s="163"/>
      <c r="T324" s="163"/>
      <c r="U324" s="178" t="s">
        <v>1249</v>
      </c>
      <c r="V324" s="165">
        <v>2444530731.9299998</v>
      </c>
      <c r="W324" s="451">
        <v>3445160730</v>
      </c>
      <c r="X324" s="366">
        <v>10000000000</v>
      </c>
      <c r="Y324" s="366">
        <v>12000000000</v>
      </c>
    </row>
    <row r="325" spans="1:25">
      <c r="A325" s="162"/>
      <c r="B325" s="163"/>
      <c r="C325" s="163"/>
      <c r="D325" s="163"/>
      <c r="E325" s="163"/>
      <c r="F325" s="163"/>
      <c r="G325" s="163"/>
      <c r="H325" s="163"/>
      <c r="I325" s="163"/>
      <c r="J325" s="163"/>
      <c r="K325" s="163"/>
      <c r="L325" s="163"/>
      <c r="M325" s="163"/>
      <c r="N325" s="163"/>
      <c r="O325" s="163"/>
      <c r="P325" s="163"/>
      <c r="Q325" s="163"/>
      <c r="R325" s="163"/>
      <c r="S325" s="163"/>
      <c r="T325" s="163"/>
      <c r="U325" s="178" t="s">
        <v>1250</v>
      </c>
      <c r="V325" s="165">
        <v>2444530731.9299998</v>
      </c>
      <c r="W325" s="451">
        <v>11357607864.754</v>
      </c>
      <c r="X325" s="366">
        <v>6000000000</v>
      </c>
      <c r="Y325" s="366">
        <v>4000000000</v>
      </c>
    </row>
    <row r="326" spans="1:25">
      <c r="A326" s="162"/>
      <c r="B326" s="163"/>
      <c r="C326" s="163"/>
      <c r="D326" s="163"/>
      <c r="E326" s="163"/>
      <c r="F326" s="163"/>
      <c r="G326" s="163"/>
      <c r="H326" s="163"/>
      <c r="I326" s="163"/>
      <c r="J326" s="163"/>
      <c r="K326" s="163"/>
      <c r="L326" s="163"/>
      <c r="M326" s="163"/>
      <c r="N326" s="163"/>
      <c r="O326" s="163"/>
      <c r="P326" s="163"/>
      <c r="Q326" s="163"/>
      <c r="R326" s="163"/>
      <c r="S326" s="163"/>
      <c r="T326" s="163"/>
      <c r="U326" s="178" t="s">
        <v>1251</v>
      </c>
      <c r="V326" s="165">
        <v>1000000000</v>
      </c>
      <c r="W326" s="451">
        <v>0</v>
      </c>
      <c r="X326" s="366">
        <v>1200000000</v>
      </c>
      <c r="Y326" s="366">
        <v>1000000000</v>
      </c>
    </row>
    <row r="327" spans="1:25">
      <c r="A327" s="162"/>
      <c r="B327" s="163"/>
      <c r="C327" s="163"/>
      <c r="D327" s="163"/>
      <c r="E327" s="163"/>
      <c r="F327" s="163"/>
      <c r="G327" s="163"/>
      <c r="H327" s="163"/>
      <c r="I327" s="163"/>
      <c r="J327" s="163"/>
      <c r="K327" s="163"/>
      <c r="L327" s="163"/>
      <c r="M327" s="163"/>
      <c r="N327" s="163"/>
      <c r="O327" s="163"/>
      <c r="P327" s="163"/>
      <c r="Q327" s="163"/>
      <c r="R327" s="163"/>
      <c r="S327" s="163"/>
      <c r="T327" s="163"/>
      <c r="U327" s="178" t="s">
        <v>1252</v>
      </c>
      <c r="V327" s="165">
        <v>5000000000</v>
      </c>
      <c r="W327" s="451">
        <v>0</v>
      </c>
      <c r="X327" s="366">
        <v>2000000000</v>
      </c>
      <c r="Y327" s="366">
        <v>2000000000</v>
      </c>
    </row>
    <row r="328" spans="1:25">
      <c r="A328" s="162"/>
      <c r="B328" s="163"/>
      <c r="C328" s="163"/>
      <c r="D328" s="163"/>
      <c r="E328" s="163"/>
      <c r="F328" s="163"/>
      <c r="G328" s="163"/>
      <c r="H328" s="163"/>
      <c r="I328" s="163"/>
      <c r="J328" s="163"/>
      <c r="K328" s="163"/>
      <c r="L328" s="163"/>
      <c r="M328" s="163"/>
      <c r="N328" s="163"/>
      <c r="O328" s="163"/>
      <c r="P328" s="163"/>
      <c r="Q328" s="163"/>
      <c r="R328" s="163"/>
      <c r="S328" s="163"/>
      <c r="T328" s="163"/>
      <c r="U328" s="178" t="s">
        <v>1253</v>
      </c>
      <c r="V328" s="165">
        <v>300000000</v>
      </c>
      <c r="W328" s="451">
        <v>250000000</v>
      </c>
      <c r="X328" s="366"/>
      <c r="Y328" s="366"/>
    </row>
    <row r="329" spans="1:25">
      <c r="A329" s="162"/>
      <c r="B329" s="163"/>
      <c r="C329" s="163"/>
      <c r="D329" s="163"/>
      <c r="E329" s="163"/>
      <c r="F329" s="163"/>
      <c r="G329" s="163"/>
      <c r="H329" s="163"/>
      <c r="I329" s="163"/>
      <c r="J329" s="163"/>
      <c r="K329" s="163"/>
      <c r="L329" s="163"/>
      <c r="M329" s="163"/>
      <c r="N329" s="163"/>
      <c r="O329" s="163"/>
      <c r="P329" s="163"/>
      <c r="Q329" s="163"/>
      <c r="R329" s="163"/>
      <c r="S329" s="163"/>
      <c r="T329" s="163"/>
      <c r="U329" s="178" t="s">
        <v>1254</v>
      </c>
      <c r="V329" s="165">
        <v>500000000</v>
      </c>
      <c r="W329" s="451">
        <v>500000000</v>
      </c>
      <c r="X329" s="366"/>
      <c r="Y329" s="366"/>
    </row>
    <row r="330" spans="1:25" ht="25.5">
      <c r="A330" s="162"/>
      <c r="B330" s="163"/>
      <c r="C330" s="163"/>
      <c r="D330" s="163"/>
      <c r="E330" s="163"/>
      <c r="F330" s="163"/>
      <c r="G330" s="163"/>
      <c r="H330" s="163"/>
      <c r="I330" s="163"/>
      <c r="J330" s="163"/>
      <c r="K330" s="163"/>
      <c r="L330" s="163"/>
      <c r="M330" s="163"/>
      <c r="N330" s="163"/>
      <c r="O330" s="163"/>
      <c r="P330" s="163"/>
      <c r="Q330" s="163"/>
      <c r="R330" s="163"/>
      <c r="S330" s="163"/>
      <c r="T330" s="163"/>
      <c r="U330" s="178" t="s">
        <v>1255</v>
      </c>
      <c r="V330" s="165">
        <v>1750000000</v>
      </c>
      <c r="W330" s="451">
        <v>0</v>
      </c>
      <c r="X330" s="366">
        <v>600000000</v>
      </c>
      <c r="Y330" s="366">
        <v>500000000</v>
      </c>
    </row>
    <row r="331" spans="1:25" ht="25.5">
      <c r="A331" s="162"/>
      <c r="B331" s="163"/>
      <c r="C331" s="163"/>
      <c r="D331" s="163"/>
      <c r="E331" s="163"/>
      <c r="F331" s="163"/>
      <c r="G331" s="163"/>
      <c r="H331" s="163"/>
      <c r="I331" s="163"/>
      <c r="J331" s="163"/>
      <c r="K331" s="163"/>
      <c r="L331" s="163"/>
      <c r="M331" s="163"/>
      <c r="N331" s="163"/>
      <c r="O331" s="163"/>
      <c r="P331" s="163"/>
      <c r="Q331" s="163"/>
      <c r="R331" s="163"/>
      <c r="S331" s="163"/>
      <c r="T331" s="163"/>
      <c r="U331" s="178" t="s">
        <v>1256</v>
      </c>
      <c r="V331" s="165">
        <v>1728606405</v>
      </c>
      <c r="W331" s="451">
        <v>1500000000</v>
      </c>
      <c r="X331" s="366"/>
      <c r="Y331" s="366"/>
    </row>
    <row r="332" spans="1:25">
      <c r="A332" s="162"/>
      <c r="B332" s="163"/>
      <c r="C332" s="163"/>
      <c r="D332" s="163"/>
      <c r="E332" s="163"/>
      <c r="F332" s="163"/>
      <c r="G332" s="163"/>
      <c r="H332" s="163"/>
      <c r="I332" s="163"/>
      <c r="J332" s="163"/>
      <c r="K332" s="163"/>
      <c r="L332" s="163"/>
      <c r="M332" s="163"/>
      <c r="N332" s="163"/>
      <c r="O332" s="163"/>
      <c r="P332" s="163"/>
      <c r="Q332" s="163"/>
      <c r="R332" s="163"/>
      <c r="S332" s="163"/>
      <c r="T332" s="163"/>
      <c r="U332" s="178" t="s">
        <v>1257</v>
      </c>
      <c r="V332" s="165"/>
      <c r="W332" s="451">
        <v>0</v>
      </c>
      <c r="X332" s="366"/>
      <c r="Y332" s="366"/>
    </row>
    <row r="333" spans="1:25">
      <c r="A333" s="162"/>
      <c r="B333" s="163"/>
      <c r="C333" s="163"/>
      <c r="D333" s="163"/>
      <c r="E333" s="163"/>
      <c r="F333" s="163"/>
      <c r="G333" s="163"/>
      <c r="H333" s="163"/>
      <c r="I333" s="163"/>
      <c r="J333" s="163"/>
      <c r="K333" s="163"/>
      <c r="L333" s="163"/>
      <c r="M333" s="163"/>
      <c r="N333" s="163"/>
      <c r="O333" s="163"/>
      <c r="P333" s="163"/>
      <c r="Q333" s="163"/>
      <c r="R333" s="163"/>
      <c r="S333" s="163"/>
      <c r="T333" s="163"/>
      <c r="U333" s="178" t="s">
        <v>1258</v>
      </c>
      <c r="V333" s="165"/>
      <c r="W333" s="451">
        <v>0</v>
      </c>
      <c r="X333" s="366"/>
      <c r="Y333" s="366"/>
    </row>
    <row r="334" spans="1:25">
      <c r="A334" s="162"/>
      <c r="B334" s="163"/>
      <c r="C334" s="163"/>
      <c r="D334" s="163"/>
      <c r="E334" s="163"/>
      <c r="F334" s="163"/>
      <c r="G334" s="163"/>
      <c r="H334" s="163"/>
      <c r="I334" s="163"/>
      <c r="J334" s="163"/>
      <c r="K334" s="163"/>
      <c r="L334" s="163"/>
      <c r="M334" s="163"/>
      <c r="N334" s="163"/>
      <c r="O334" s="163"/>
      <c r="P334" s="163"/>
      <c r="Q334" s="163"/>
      <c r="R334" s="163"/>
      <c r="S334" s="163"/>
      <c r="T334" s="163"/>
      <c r="U334" s="178" t="s">
        <v>1259</v>
      </c>
      <c r="V334" s="165"/>
      <c r="W334" s="451">
        <v>0</v>
      </c>
      <c r="X334" s="165"/>
      <c r="Y334" s="165"/>
    </row>
    <row r="335" spans="1:25">
      <c r="A335" s="162"/>
      <c r="B335" s="163"/>
      <c r="C335" s="163"/>
      <c r="D335" s="163"/>
      <c r="E335" s="163"/>
      <c r="F335" s="163"/>
      <c r="G335" s="163"/>
      <c r="H335" s="163"/>
      <c r="I335" s="163"/>
      <c r="J335" s="163"/>
      <c r="K335" s="163"/>
      <c r="L335" s="163"/>
      <c r="M335" s="163"/>
      <c r="N335" s="163"/>
      <c r="O335" s="163"/>
      <c r="P335" s="163"/>
      <c r="Q335" s="163"/>
      <c r="R335" s="163"/>
      <c r="S335" s="163"/>
      <c r="T335" s="163"/>
      <c r="U335" s="178" t="s">
        <v>2081</v>
      </c>
      <c r="V335" s="165"/>
      <c r="W335" s="451">
        <v>0</v>
      </c>
      <c r="X335" s="366">
        <v>12000000000</v>
      </c>
      <c r="Y335" s="366">
        <v>15000000000</v>
      </c>
    </row>
    <row r="336" spans="1:25" s="184" customFormat="1">
      <c r="A336" s="181"/>
      <c r="B336" s="182"/>
      <c r="C336" s="182"/>
      <c r="D336" s="182"/>
      <c r="E336" s="182"/>
      <c r="F336" s="182"/>
      <c r="G336" s="182"/>
      <c r="H336" s="182"/>
      <c r="I336" s="182"/>
      <c r="J336" s="182"/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3"/>
      <c r="V336" s="168">
        <f>SUM(V307:V334)</f>
        <v>29270565940.810001</v>
      </c>
      <c r="W336" s="334">
        <f t="shared" ref="W336" si="107">SUM(W307:W335)</f>
        <v>24064226308.643997</v>
      </c>
      <c r="X336" s="168">
        <f t="shared" ref="X336:Y336" si="108">SUM(X307:X335)</f>
        <v>37920000000</v>
      </c>
      <c r="Y336" s="168">
        <f t="shared" si="108"/>
        <v>40300000000</v>
      </c>
    </row>
    <row r="338" spans="1:25">
      <c r="U338" s="185" t="s">
        <v>1218</v>
      </c>
    </row>
    <row r="339" spans="1:25">
      <c r="U339" s="185" t="str">
        <f>UPPER(U319)</f>
        <v>PROVISION OF INFRASTRUCTURE AT NEW LAYOUTS</v>
      </c>
      <c r="V339" s="143"/>
    </row>
    <row r="340" spans="1:25">
      <c r="U340" s="185" t="s">
        <v>1260</v>
      </c>
      <c r="V340" s="262">
        <v>1300030000</v>
      </c>
    </row>
    <row r="341" spans="1:25">
      <c r="V341" s="262"/>
    </row>
    <row r="342" spans="1:25" ht="25.5">
      <c r="U342" s="185" t="s">
        <v>1261</v>
      </c>
      <c r="V342" s="262">
        <v>4000315000</v>
      </c>
    </row>
    <row r="343" spans="1:25">
      <c r="U343" s="185"/>
      <c r="V343" s="262"/>
    </row>
    <row r="344" spans="1:25" s="184" customFormat="1" ht="15">
      <c r="A344" s="204"/>
      <c r="U344" s="443" t="s">
        <v>2181</v>
      </c>
      <c r="V344" s="262"/>
      <c r="W344" s="355"/>
      <c r="X344" s="262"/>
      <c r="Y344" s="262"/>
    </row>
    <row r="345" spans="1:25">
      <c r="U345" s="185" t="s">
        <v>1249</v>
      </c>
      <c r="V345" s="262">
        <v>2445160730</v>
      </c>
    </row>
    <row r="346" spans="1:25">
      <c r="U346" s="185" t="s">
        <v>1250</v>
      </c>
      <c r="V346" s="262">
        <v>7705788694.8800001</v>
      </c>
    </row>
    <row r="347" spans="1:25" ht="25.5">
      <c r="U347" s="185" t="s">
        <v>1256</v>
      </c>
      <c r="V347" s="262">
        <v>1500000000</v>
      </c>
    </row>
    <row r="348" spans="1:25">
      <c r="U348" s="185" t="s">
        <v>1254</v>
      </c>
      <c r="V348" s="357">
        <v>500000000</v>
      </c>
    </row>
    <row r="349" spans="1:25">
      <c r="U349" s="185"/>
      <c r="V349" s="262">
        <f>SUM(V345:V348)</f>
        <v>12150949424.880001</v>
      </c>
    </row>
    <row r="350" spans="1:25">
      <c r="U350" s="185"/>
      <c r="V350" s="262"/>
    </row>
    <row r="351" spans="1:25">
      <c r="U351" s="185"/>
      <c r="V351" s="262"/>
    </row>
    <row r="352" spans="1:25" ht="26.25">
      <c r="A352" s="175" t="s">
        <v>218</v>
      </c>
      <c r="B352" s="176"/>
      <c r="C352" s="176"/>
      <c r="D352" s="176"/>
      <c r="E352" s="176"/>
      <c r="F352" s="176"/>
      <c r="G352" s="176"/>
      <c r="H352" s="176"/>
      <c r="I352" s="176"/>
      <c r="J352" s="176"/>
      <c r="K352" s="176"/>
      <c r="L352" s="176"/>
      <c r="M352" s="176"/>
      <c r="N352" s="176"/>
      <c r="O352" s="176"/>
      <c r="P352" s="176"/>
      <c r="Q352" s="176"/>
      <c r="R352" s="176"/>
      <c r="S352" s="176"/>
      <c r="T352" s="176"/>
      <c r="U352" s="176"/>
      <c r="V352" s="176"/>
      <c r="W352" s="345"/>
      <c r="X352" s="176"/>
      <c r="Y352" s="176"/>
    </row>
    <row r="353" spans="1:25">
      <c r="A353" s="162"/>
      <c r="B353" s="163"/>
      <c r="C353" s="163"/>
      <c r="D353" s="163"/>
      <c r="E353" s="163"/>
      <c r="F353" s="163"/>
      <c r="G353" s="163"/>
      <c r="H353" s="163"/>
      <c r="I353" s="163"/>
      <c r="J353" s="163"/>
      <c r="K353" s="163"/>
      <c r="L353" s="163"/>
      <c r="M353" s="163"/>
      <c r="N353" s="163"/>
      <c r="O353" s="163"/>
      <c r="P353" s="163"/>
      <c r="Q353" s="163"/>
      <c r="R353" s="163"/>
      <c r="S353" s="163"/>
      <c r="T353" s="163"/>
      <c r="U353" s="178" t="s">
        <v>2340</v>
      </c>
      <c r="V353" s="165"/>
      <c r="W353" s="451">
        <v>45681513.710000001</v>
      </c>
      <c r="X353" s="366">
        <v>50000000</v>
      </c>
      <c r="Y353" s="366">
        <v>55000000</v>
      </c>
    </row>
    <row r="354" spans="1:25">
      <c r="A354" s="162"/>
      <c r="B354" s="163"/>
      <c r="C354" s="163"/>
      <c r="D354" s="163"/>
      <c r="E354" s="163"/>
      <c r="F354" s="163"/>
      <c r="G354" s="163"/>
      <c r="H354" s="163"/>
      <c r="I354" s="163"/>
      <c r="J354" s="163"/>
      <c r="K354" s="163"/>
      <c r="L354" s="163"/>
      <c r="M354" s="163"/>
      <c r="N354" s="163"/>
      <c r="O354" s="163"/>
      <c r="P354" s="163"/>
      <c r="Q354" s="163"/>
      <c r="R354" s="163"/>
      <c r="S354" s="163"/>
      <c r="T354" s="163"/>
      <c r="U354" s="178" t="s">
        <v>2341</v>
      </c>
      <c r="V354" s="165">
        <v>500000000</v>
      </c>
      <c r="W354" s="451">
        <v>400000000</v>
      </c>
      <c r="X354" s="366">
        <v>450000000</v>
      </c>
      <c r="Y354" s="366">
        <v>500000000</v>
      </c>
    </row>
    <row r="355" spans="1:25" s="184" customFormat="1">
      <c r="A355" s="181"/>
      <c r="B355" s="182"/>
      <c r="C355" s="182"/>
      <c r="D355" s="182"/>
      <c r="E355" s="182"/>
      <c r="F355" s="182"/>
      <c r="G355" s="182"/>
      <c r="H355" s="182"/>
      <c r="I355" s="182"/>
      <c r="J355" s="182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  <c r="U355" s="183"/>
      <c r="V355" s="168">
        <f t="shared" ref="V355:Y355" si="109">SUM(V353:V354)</f>
        <v>500000000</v>
      </c>
      <c r="W355" s="334">
        <f t="shared" si="109"/>
        <v>445681513.70999998</v>
      </c>
      <c r="X355" s="168">
        <f t="shared" si="109"/>
        <v>500000000</v>
      </c>
      <c r="Y355" s="168">
        <f t="shared" si="109"/>
        <v>555000000</v>
      </c>
    </row>
    <row r="357" spans="1:25">
      <c r="U357" s="185" t="s">
        <v>1218</v>
      </c>
    </row>
    <row r="358" spans="1:25" s="184" customFormat="1" ht="15">
      <c r="A358" s="204"/>
      <c r="U358" s="443" t="s">
        <v>2181</v>
      </c>
      <c r="V358" s="262">
        <v>445681513.70999998</v>
      </c>
      <c r="W358" s="355"/>
      <c r="X358" s="262"/>
      <c r="Y358" s="262"/>
    </row>
    <row r="360" spans="1:25" ht="26.25">
      <c r="A360" s="175" t="s">
        <v>131</v>
      </c>
      <c r="B360" s="176"/>
      <c r="C360" s="176"/>
      <c r="D360" s="176"/>
      <c r="E360" s="176"/>
      <c r="F360" s="176"/>
      <c r="G360" s="176"/>
      <c r="H360" s="176"/>
      <c r="I360" s="176"/>
      <c r="J360" s="176"/>
      <c r="K360" s="176"/>
      <c r="L360" s="176"/>
      <c r="M360" s="176"/>
      <c r="N360" s="176"/>
      <c r="O360" s="176"/>
      <c r="P360" s="176"/>
      <c r="Q360" s="176"/>
      <c r="R360" s="176"/>
      <c r="S360" s="176"/>
      <c r="T360" s="176"/>
      <c r="U360" s="176"/>
      <c r="V360" s="176"/>
      <c r="W360" s="345"/>
      <c r="X360" s="176"/>
      <c r="Y360" s="176"/>
    </row>
    <row r="361" spans="1:25" ht="25.5">
      <c r="A361" s="181"/>
      <c r="B361" s="163"/>
      <c r="C361" s="163"/>
      <c r="D361" s="163"/>
      <c r="E361" s="163"/>
      <c r="F361" s="163"/>
      <c r="G361" s="163"/>
      <c r="H361" s="163"/>
      <c r="I361" s="163"/>
      <c r="J361" s="163"/>
      <c r="K361" s="163"/>
      <c r="L361" s="163"/>
      <c r="M361" s="163"/>
      <c r="N361" s="163"/>
      <c r="O361" s="163"/>
      <c r="P361" s="163"/>
      <c r="Q361" s="163"/>
      <c r="R361" s="163"/>
      <c r="S361" s="163"/>
      <c r="T361" s="163"/>
      <c r="U361" s="178" t="s">
        <v>2342</v>
      </c>
      <c r="V361" s="165"/>
      <c r="W361" s="451">
        <v>0</v>
      </c>
      <c r="X361" s="165"/>
      <c r="Y361" s="165"/>
    </row>
    <row r="362" spans="1:25" ht="25.5">
      <c r="A362" s="181"/>
      <c r="B362" s="163"/>
      <c r="C362" s="163"/>
      <c r="D362" s="163"/>
      <c r="E362" s="163"/>
      <c r="F362" s="163"/>
      <c r="G362" s="163"/>
      <c r="H362" s="163"/>
      <c r="I362" s="163"/>
      <c r="J362" s="163"/>
      <c r="K362" s="163"/>
      <c r="L362" s="163"/>
      <c r="M362" s="163"/>
      <c r="N362" s="163"/>
      <c r="O362" s="163"/>
      <c r="P362" s="163"/>
      <c r="Q362" s="163"/>
      <c r="R362" s="163"/>
      <c r="S362" s="163"/>
      <c r="T362" s="163"/>
      <c r="U362" s="178" t="s">
        <v>2343</v>
      </c>
      <c r="V362" s="165"/>
      <c r="W362" s="451">
        <v>0</v>
      </c>
      <c r="X362" s="165"/>
      <c r="Y362" s="165"/>
    </row>
    <row r="363" spans="1:25">
      <c r="A363" s="181"/>
      <c r="B363" s="163"/>
      <c r="C363" s="163"/>
      <c r="D363" s="163"/>
      <c r="E363" s="163"/>
      <c r="F363" s="163"/>
      <c r="G363" s="163"/>
      <c r="H363" s="163"/>
      <c r="I363" s="163"/>
      <c r="J363" s="163"/>
      <c r="K363" s="163"/>
      <c r="L363" s="163"/>
      <c r="M363" s="163"/>
      <c r="N363" s="163"/>
      <c r="O363" s="163"/>
      <c r="P363" s="163"/>
      <c r="Q363" s="163"/>
      <c r="R363" s="163"/>
      <c r="S363" s="163"/>
      <c r="T363" s="163"/>
      <c r="U363" s="178" t="s">
        <v>1262</v>
      </c>
      <c r="V363" s="165"/>
      <c r="W363" s="451">
        <v>0</v>
      </c>
      <c r="X363" s="165"/>
      <c r="Y363" s="165"/>
    </row>
    <row r="364" spans="1:25" ht="25.5">
      <c r="A364" s="181"/>
      <c r="B364" s="163"/>
      <c r="C364" s="163"/>
      <c r="D364" s="163"/>
      <c r="E364" s="163"/>
      <c r="F364" s="163"/>
      <c r="G364" s="163"/>
      <c r="H364" s="163"/>
      <c r="I364" s="163"/>
      <c r="J364" s="163"/>
      <c r="K364" s="163"/>
      <c r="L364" s="163"/>
      <c r="M364" s="163"/>
      <c r="N364" s="163"/>
      <c r="O364" s="163"/>
      <c r="P364" s="163"/>
      <c r="Q364" s="163"/>
      <c r="R364" s="163"/>
      <c r="S364" s="163"/>
      <c r="T364" s="163"/>
      <c r="U364" s="178" t="s">
        <v>2344</v>
      </c>
      <c r="V364" s="165">
        <v>761722285.20000005</v>
      </c>
      <c r="W364" s="451">
        <v>761722285</v>
      </c>
      <c r="X364" s="366">
        <v>761722285</v>
      </c>
      <c r="Y364" s="366">
        <v>765000000</v>
      </c>
    </row>
    <row r="365" spans="1:25" ht="25.5">
      <c r="A365" s="181"/>
      <c r="B365" s="163"/>
      <c r="C365" s="163"/>
      <c r="D365" s="163"/>
      <c r="E365" s="163"/>
      <c r="F365" s="163"/>
      <c r="G365" s="163"/>
      <c r="H365" s="163"/>
      <c r="I365" s="163"/>
      <c r="J365" s="163"/>
      <c r="K365" s="163"/>
      <c r="L365" s="163"/>
      <c r="M365" s="163"/>
      <c r="N365" s="163"/>
      <c r="O365" s="163"/>
      <c r="P365" s="163"/>
      <c r="Q365" s="163"/>
      <c r="R365" s="163"/>
      <c r="S365" s="163"/>
      <c r="T365" s="163"/>
      <c r="U365" s="178" t="s">
        <v>2345</v>
      </c>
      <c r="V365" s="165"/>
      <c r="W365" s="451">
        <v>510000000</v>
      </c>
      <c r="X365" s="366">
        <v>510000000</v>
      </c>
      <c r="Y365" s="366">
        <v>200000000</v>
      </c>
    </row>
    <row r="366" spans="1:25" ht="25.5">
      <c r="A366" s="181"/>
      <c r="B366" s="163"/>
      <c r="C366" s="163"/>
      <c r="D366" s="163"/>
      <c r="E366" s="163"/>
      <c r="F366" s="163"/>
      <c r="G366" s="163"/>
      <c r="H366" s="163"/>
      <c r="I366" s="163"/>
      <c r="J366" s="163"/>
      <c r="K366" s="163"/>
      <c r="L366" s="163"/>
      <c r="M366" s="163"/>
      <c r="N366" s="163"/>
      <c r="O366" s="163"/>
      <c r="P366" s="163"/>
      <c r="Q366" s="163"/>
      <c r="R366" s="163"/>
      <c r="S366" s="163"/>
      <c r="T366" s="163"/>
      <c r="U366" s="178" t="s">
        <v>2346</v>
      </c>
      <c r="V366" s="165"/>
      <c r="W366" s="451">
        <v>150000000</v>
      </c>
      <c r="X366" s="366">
        <v>150000000</v>
      </c>
      <c r="Y366" s="366">
        <v>200000000</v>
      </c>
    </row>
    <row r="367" spans="1:25" ht="38.25">
      <c r="A367" s="181"/>
      <c r="B367" s="163"/>
      <c r="C367" s="163"/>
      <c r="D367" s="163"/>
      <c r="E367" s="163"/>
      <c r="F367" s="163"/>
      <c r="G367" s="163"/>
      <c r="H367" s="163"/>
      <c r="I367" s="163"/>
      <c r="J367" s="163"/>
      <c r="K367" s="163"/>
      <c r="L367" s="163"/>
      <c r="M367" s="163"/>
      <c r="N367" s="163"/>
      <c r="O367" s="163"/>
      <c r="P367" s="163"/>
      <c r="Q367" s="163"/>
      <c r="R367" s="163"/>
      <c r="S367" s="163"/>
      <c r="T367" s="163"/>
      <c r="U367" s="367" t="s">
        <v>2347</v>
      </c>
      <c r="V367" s="165">
        <v>10072000000</v>
      </c>
      <c r="W367" s="451">
        <f>13411941327.42+2000557328.87</f>
        <v>15412498656.290001</v>
      </c>
      <c r="X367" s="366">
        <v>12500000000</v>
      </c>
      <c r="Y367" s="366">
        <v>13000000000</v>
      </c>
    </row>
    <row r="368" spans="1:25" ht="25.5">
      <c r="A368" s="181"/>
      <c r="B368" s="163"/>
      <c r="C368" s="163"/>
      <c r="D368" s="163"/>
      <c r="E368" s="163"/>
      <c r="F368" s="163"/>
      <c r="G368" s="163"/>
      <c r="H368" s="163"/>
      <c r="I368" s="163"/>
      <c r="J368" s="163"/>
      <c r="K368" s="163"/>
      <c r="L368" s="163"/>
      <c r="M368" s="163"/>
      <c r="N368" s="163"/>
      <c r="O368" s="163"/>
      <c r="P368" s="163"/>
      <c r="Q368" s="163"/>
      <c r="R368" s="163"/>
      <c r="S368" s="163"/>
      <c r="T368" s="163"/>
      <c r="U368" s="178" t="s">
        <v>2187</v>
      </c>
      <c r="V368" s="165"/>
      <c r="W368" s="451">
        <v>20000600000.639999</v>
      </c>
      <c r="X368" s="165"/>
      <c r="Y368" s="165"/>
    </row>
    <row r="369" spans="1:25">
      <c r="A369" s="181"/>
      <c r="B369" s="163"/>
      <c r="C369" s="163"/>
      <c r="D369" s="163"/>
      <c r="E369" s="163"/>
      <c r="F369" s="163"/>
      <c r="G369" s="163"/>
      <c r="H369" s="163"/>
      <c r="I369" s="163"/>
      <c r="J369" s="163"/>
      <c r="K369" s="163"/>
      <c r="L369" s="163"/>
      <c r="M369" s="163"/>
      <c r="N369" s="163"/>
      <c r="O369" s="163"/>
      <c r="P369" s="163"/>
      <c r="Q369" s="163"/>
      <c r="R369" s="163"/>
      <c r="S369" s="163"/>
      <c r="T369" s="163"/>
      <c r="U369" s="178" t="s">
        <v>2348</v>
      </c>
      <c r="V369" s="165"/>
      <c r="W369" s="451">
        <v>881600</v>
      </c>
      <c r="X369" s="366">
        <v>881600</v>
      </c>
      <c r="Y369" s="165"/>
    </row>
    <row r="370" spans="1:25" ht="25.5">
      <c r="A370" s="181"/>
      <c r="B370" s="163"/>
      <c r="C370" s="163"/>
      <c r="D370" s="163"/>
      <c r="E370" s="163"/>
      <c r="F370" s="163"/>
      <c r="G370" s="163"/>
      <c r="H370" s="163"/>
      <c r="I370" s="163"/>
      <c r="J370" s="163"/>
      <c r="K370" s="163"/>
      <c r="L370" s="163"/>
      <c r="M370" s="163"/>
      <c r="N370" s="163"/>
      <c r="O370" s="163"/>
      <c r="P370" s="163"/>
      <c r="Q370" s="163"/>
      <c r="R370" s="163"/>
      <c r="S370" s="163"/>
      <c r="T370" s="163"/>
      <c r="U370" s="178" t="s">
        <v>2349</v>
      </c>
      <c r="V370" s="165">
        <v>160000000</v>
      </c>
      <c r="W370" s="451">
        <v>0</v>
      </c>
      <c r="X370" s="165"/>
      <c r="Y370" s="165"/>
    </row>
    <row r="371" spans="1:25" ht="25.5">
      <c r="A371" s="181"/>
      <c r="B371" s="163"/>
      <c r="C371" s="163"/>
      <c r="D371" s="163"/>
      <c r="E371" s="163"/>
      <c r="F371" s="163"/>
      <c r="G371" s="163"/>
      <c r="H371" s="163"/>
      <c r="I371" s="163"/>
      <c r="J371" s="163"/>
      <c r="K371" s="163"/>
      <c r="L371" s="163"/>
      <c r="M371" s="163"/>
      <c r="N371" s="163"/>
      <c r="O371" s="163"/>
      <c r="P371" s="163"/>
      <c r="Q371" s="163"/>
      <c r="R371" s="163"/>
      <c r="S371" s="163"/>
      <c r="T371" s="163"/>
      <c r="U371" s="178" t="s">
        <v>2350</v>
      </c>
      <c r="V371" s="165">
        <v>215250000</v>
      </c>
      <c r="W371" s="451">
        <v>0</v>
      </c>
      <c r="X371" s="165"/>
      <c r="Y371" s="165"/>
    </row>
    <row r="372" spans="1:25">
      <c r="A372" s="181"/>
      <c r="B372" s="163"/>
      <c r="C372" s="163"/>
      <c r="D372" s="163"/>
      <c r="E372" s="163"/>
      <c r="F372" s="163"/>
      <c r="G372" s="163"/>
      <c r="H372" s="163"/>
      <c r="I372" s="163"/>
      <c r="J372" s="163"/>
      <c r="K372" s="163"/>
      <c r="L372" s="163"/>
      <c r="M372" s="163"/>
      <c r="N372" s="163"/>
      <c r="O372" s="163"/>
      <c r="P372" s="163"/>
      <c r="Q372" s="163"/>
      <c r="R372" s="163"/>
      <c r="S372" s="163"/>
      <c r="T372" s="163"/>
      <c r="U372" s="178" t="s">
        <v>1263</v>
      </c>
      <c r="V372" s="165"/>
      <c r="W372" s="451">
        <v>50000000</v>
      </c>
      <c r="X372" s="366">
        <v>200000000</v>
      </c>
      <c r="Y372" s="366">
        <v>250000000</v>
      </c>
    </row>
    <row r="373" spans="1:25" ht="38.25">
      <c r="A373" s="181"/>
      <c r="B373" s="163"/>
      <c r="C373" s="163"/>
      <c r="D373" s="163"/>
      <c r="E373" s="163"/>
      <c r="F373" s="163"/>
      <c r="G373" s="163"/>
      <c r="H373" s="163"/>
      <c r="I373" s="163"/>
      <c r="J373" s="163"/>
      <c r="K373" s="163"/>
      <c r="L373" s="163"/>
      <c r="M373" s="163"/>
      <c r="N373" s="163"/>
      <c r="O373" s="163"/>
      <c r="P373" s="163"/>
      <c r="Q373" s="163"/>
      <c r="R373" s="163"/>
      <c r="S373" s="163"/>
      <c r="T373" s="163"/>
      <c r="U373" s="178" t="s">
        <v>2351</v>
      </c>
      <c r="V373" s="165"/>
      <c r="W373" s="451">
        <v>0</v>
      </c>
      <c r="X373" s="165"/>
      <c r="Y373" s="165"/>
    </row>
    <row r="374" spans="1:25">
      <c r="A374" s="181"/>
      <c r="B374" s="163"/>
      <c r="C374" s="163"/>
      <c r="D374" s="163"/>
      <c r="E374" s="163"/>
      <c r="F374" s="163"/>
      <c r="G374" s="163"/>
      <c r="H374" s="163"/>
      <c r="I374" s="163"/>
      <c r="J374" s="163"/>
      <c r="K374" s="163"/>
      <c r="L374" s="163"/>
      <c r="M374" s="163"/>
      <c r="N374" s="163"/>
      <c r="O374" s="163"/>
      <c r="P374" s="163"/>
      <c r="Q374" s="163"/>
      <c r="R374" s="163"/>
      <c r="S374" s="163"/>
      <c r="T374" s="163"/>
      <c r="U374" s="178" t="s">
        <v>1264</v>
      </c>
      <c r="V374" s="165"/>
      <c r="W374" s="451">
        <v>120854419</v>
      </c>
      <c r="X374" s="366">
        <v>120854419</v>
      </c>
      <c r="Y374" s="366">
        <v>120854419</v>
      </c>
    </row>
    <row r="375" spans="1:25" ht="38.25">
      <c r="A375" s="181"/>
      <c r="B375" s="163"/>
      <c r="C375" s="163"/>
      <c r="D375" s="163"/>
      <c r="E375" s="163"/>
      <c r="F375" s="163"/>
      <c r="G375" s="163"/>
      <c r="H375" s="163"/>
      <c r="I375" s="163"/>
      <c r="J375" s="163"/>
      <c r="K375" s="163"/>
      <c r="L375" s="163"/>
      <c r="M375" s="163"/>
      <c r="N375" s="163"/>
      <c r="O375" s="163"/>
      <c r="P375" s="163"/>
      <c r="Q375" s="163"/>
      <c r="R375" s="163"/>
      <c r="S375" s="163"/>
      <c r="T375" s="163"/>
      <c r="U375" s="178" t="s">
        <v>2352</v>
      </c>
      <c r="V375" s="165"/>
      <c r="W375" s="451">
        <v>130000000</v>
      </c>
      <c r="X375" s="165"/>
      <c r="Y375" s="165"/>
    </row>
    <row r="376" spans="1:25" ht="38.25">
      <c r="A376" s="181"/>
      <c r="B376" s="163"/>
      <c r="C376" s="163"/>
      <c r="D376" s="163"/>
      <c r="E376" s="163"/>
      <c r="F376" s="163"/>
      <c r="G376" s="163"/>
      <c r="H376" s="163"/>
      <c r="I376" s="163"/>
      <c r="J376" s="163"/>
      <c r="K376" s="163"/>
      <c r="L376" s="163"/>
      <c r="M376" s="163"/>
      <c r="N376" s="163"/>
      <c r="O376" s="163"/>
      <c r="P376" s="163"/>
      <c r="Q376" s="163"/>
      <c r="R376" s="163"/>
      <c r="S376" s="163"/>
      <c r="T376" s="163"/>
      <c r="U376" s="178" t="s">
        <v>2353</v>
      </c>
      <c r="V376" s="165"/>
      <c r="W376" s="451">
        <v>0</v>
      </c>
      <c r="X376" s="165"/>
      <c r="Y376" s="165"/>
    </row>
    <row r="377" spans="1:25" ht="25.5">
      <c r="A377" s="478"/>
      <c r="B377" s="163"/>
      <c r="C377" s="163"/>
      <c r="D377" s="163"/>
      <c r="E377" s="163"/>
      <c r="F377" s="163"/>
      <c r="G377" s="163"/>
      <c r="H377" s="163"/>
      <c r="I377" s="163"/>
      <c r="J377" s="163"/>
      <c r="K377" s="163"/>
      <c r="L377" s="163"/>
      <c r="M377" s="163"/>
      <c r="N377" s="163"/>
      <c r="O377" s="163"/>
      <c r="P377" s="163"/>
      <c r="Q377" s="163"/>
      <c r="R377" s="163"/>
      <c r="S377" s="163"/>
      <c r="T377" s="163"/>
      <c r="U377" s="178" t="s">
        <v>2354</v>
      </c>
      <c r="V377" s="165"/>
      <c r="W377" s="451">
        <v>0</v>
      </c>
      <c r="X377" s="165"/>
      <c r="Y377" s="165"/>
    </row>
    <row r="378" spans="1:25" ht="25.5">
      <c r="A378" s="181"/>
      <c r="B378" s="163"/>
      <c r="C378" s="163"/>
      <c r="D378" s="163"/>
      <c r="E378" s="163"/>
      <c r="F378" s="163"/>
      <c r="G378" s="163"/>
      <c r="H378" s="163"/>
      <c r="I378" s="163"/>
      <c r="J378" s="163"/>
      <c r="K378" s="163"/>
      <c r="L378" s="163"/>
      <c r="M378" s="163"/>
      <c r="N378" s="163"/>
      <c r="O378" s="163"/>
      <c r="P378" s="163"/>
      <c r="Q378" s="163"/>
      <c r="R378" s="163"/>
      <c r="S378" s="163"/>
      <c r="T378" s="163"/>
      <c r="U378" s="178" t="s">
        <v>2355</v>
      </c>
      <c r="V378" s="165"/>
      <c r="W378" s="451">
        <v>12999999</v>
      </c>
      <c r="X378" s="165"/>
      <c r="Y378" s="165"/>
    </row>
    <row r="379" spans="1:25">
      <c r="A379" s="181"/>
      <c r="B379" s="163"/>
      <c r="C379" s="163"/>
      <c r="D379" s="163"/>
      <c r="E379" s="163"/>
      <c r="F379" s="163"/>
      <c r="G379" s="163"/>
      <c r="H379" s="163"/>
      <c r="I379" s="163"/>
      <c r="J379" s="163"/>
      <c r="K379" s="163"/>
      <c r="L379" s="163"/>
      <c r="M379" s="163"/>
      <c r="N379" s="163"/>
      <c r="O379" s="163"/>
      <c r="P379" s="163"/>
      <c r="Q379" s="163"/>
      <c r="R379" s="163"/>
      <c r="S379" s="163"/>
      <c r="T379" s="163"/>
      <c r="U379" s="178" t="s">
        <v>1265</v>
      </c>
      <c r="V379" s="165"/>
      <c r="W379" s="451">
        <v>14725000</v>
      </c>
      <c r="X379" s="165"/>
      <c r="Y379" s="165"/>
    </row>
    <row r="380" spans="1:25" ht="25.5">
      <c r="A380" s="181"/>
      <c r="B380" s="163"/>
      <c r="C380" s="163"/>
      <c r="D380" s="163"/>
      <c r="E380" s="163"/>
      <c r="F380" s="163"/>
      <c r="G380" s="163"/>
      <c r="H380" s="163"/>
      <c r="I380" s="163"/>
      <c r="J380" s="163"/>
      <c r="K380" s="163"/>
      <c r="L380" s="163"/>
      <c r="M380" s="163"/>
      <c r="N380" s="163"/>
      <c r="O380" s="163"/>
      <c r="P380" s="163"/>
      <c r="Q380" s="163"/>
      <c r="R380" s="163"/>
      <c r="S380" s="163"/>
      <c r="T380" s="163"/>
      <c r="U380" s="178" t="s">
        <v>1266</v>
      </c>
      <c r="V380" s="165"/>
      <c r="W380" s="451">
        <v>24550000</v>
      </c>
      <c r="X380" s="165"/>
      <c r="Y380" s="165"/>
    </row>
    <row r="381" spans="1:25" ht="25.5">
      <c r="A381" s="181"/>
      <c r="B381" s="163"/>
      <c r="C381" s="163"/>
      <c r="D381" s="163"/>
      <c r="E381" s="163"/>
      <c r="F381" s="163"/>
      <c r="G381" s="163"/>
      <c r="H381" s="163"/>
      <c r="I381" s="163"/>
      <c r="J381" s="163"/>
      <c r="K381" s="163"/>
      <c r="L381" s="163"/>
      <c r="M381" s="163"/>
      <c r="N381" s="163"/>
      <c r="O381" s="163"/>
      <c r="P381" s="163"/>
      <c r="Q381" s="163"/>
      <c r="R381" s="163"/>
      <c r="S381" s="163"/>
      <c r="T381" s="163"/>
      <c r="U381" s="178" t="s">
        <v>2356</v>
      </c>
      <c r="V381" s="165"/>
      <c r="W381" s="451">
        <v>0</v>
      </c>
      <c r="X381" s="366">
        <v>145000000</v>
      </c>
      <c r="Y381" s="366"/>
    </row>
    <row r="382" spans="1:25">
      <c r="A382" s="181"/>
      <c r="B382" s="163"/>
      <c r="C382" s="163"/>
      <c r="D382" s="163"/>
      <c r="E382" s="163"/>
      <c r="F382" s="163"/>
      <c r="G382" s="163"/>
      <c r="H382" s="163"/>
      <c r="I382" s="163"/>
      <c r="J382" s="163"/>
      <c r="K382" s="163"/>
      <c r="L382" s="163"/>
      <c r="M382" s="163"/>
      <c r="N382" s="163"/>
      <c r="O382" s="163"/>
      <c r="P382" s="163"/>
      <c r="Q382" s="163"/>
      <c r="R382" s="163"/>
      <c r="S382" s="163"/>
      <c r="T382" s="163"/>
      <c r="U382" s="178" t="s">
        <v>1267</v>
      </c>
      <c r="V382" s="165"/>
      <c r="W382" s="451">
        <v>2000000000</v>
      </c>
      <c r="X382" s="165"/>
      <c r="Y382" s="165"/>
    </row>
    <row r="383" spans="1:25">
      <c r="A383" s="181"/>
      <c r="B383" s="163"/>
      <c r="C383" s="163"/>
      <c r="D383" s="163"/>
      <c r="E383" s="163"/>
      <c r="F383" s="163"/>
      <c r="G383" s="163"/>
      <c r="H383" s="163"/>
      <c r="I383" s="163"/>
      <c r="J383" s="163"/>
      <c r="K383" s="163"/>
      <c r="L383" s="163"/>
      <c r="M383" s="163"/>
      <c r="N383" s="163"/>
      <c r="O383" s="163"/>
      <c r="P383" s="163"/>
      <c r="Q383" s="163"/>
      <c r="R383" s="163"/>
      <c r="S383" s="163"/>
      <c r="T383" s="163"/>
      <c r="U383" s="178" t="s">
        <v>1268</v>
      </c>
      <c r="V383" s="165"/>
      <c r="W383" s="451">
        <v>377029786</v>
      </c>
      <c r="X383" s="165"/>
      <c r="Y383" s="165"/>
    </row>
    <row r="384" spans="1:25">
      <c r="A384" s="181"/>
      <c r="B384" s="163"/>
      <c r="C384" s="163"/>
      <c r="D384" s="163"/>
      <c r="E384" s="163"/>
      <c r="F384" s="163"/>
      <c r="G384" s="163"/>
      <c r="H384" s="163"/>
      <c r="I384" s="163"/>
      <c r="J384" s="163"/>
      <c r="K384" s="163"/>
      <c r="L384" s="163"/>
      <c r="M384" s="163"/>
      <c r="N384" s="163"/>
      <c r="O384" s="163"/>
      <c r="P384" s="163"/>
      <c r="Q384" s="163"/>
      <c r="R384" s="163"/>
      <c r="S384" s="163"/>
      <c r="T384" s="163"/>
      <c r="U384" s="178" t="s">
        <v>1269</v>
      </c>
      <c r="V384" s="165">
        <v>1450000000</v>
      </c>
      <c r="W384" s="451">
        <v>0</v>
      </c>
      <c r="X384" s="165"/>
      <c r="Y384" s="165"/>
    </row>
    <row r="385" spans="1:25">
      <c r="A385" s="181"/>
      <c r="B385" s="163"/>
      <c r="C385" s="163"/>
      <c r="D385" s="163"/>
      <c r="E385" s="163"/>
      <c r="F385" s="163"/>
      <c r="G385" s="163"/>
      <c r="H385" s="163"/>
      <c r="I385" s="163"/>
      <c r="J385" s="163"/>
      <c r="K385" s="163"/>
      <c r="L385" s="163"/>
      <c r="M385" s="163"/>
      <c r="N385" s="163"/>
      <c r="O385" s="163"/>
      <c r="P385" s="163"/>
      <c r="Q385" s="163"/>
      <c r="R385" s="163"/>
      <c r="S385" s="163"/>
      <c r="T385" s="163"/>
      <c r="U385" s="178" t="s">
        <v>1270</v>
      </c>
      <c r="V385" s="165">
        <v>2000000000</v>
      </c>
      <c r="W385" s="451">
        <v>0</v>
      </c>
      <c r="X385" s="366">
        <v>15000000000</v>
      </c>
      <c r="Y385" s="366">
        <v>10000000000</v>
      </c>
    </row>
    <row r="386" spans="1:25">
      <c r="A386" s="181"/>
      <c r="B386" s="163"/>
      <c r="C386" s="163"/>
      <c r="D386" s="163"/>
      <c r="E386" s="163"/>
      <c r="F386" s="163"/>
      <c r="G386" s="163"/>
      <c r="H386" s="163"/>
      <c r="I386" s="163"/>
      <c r="J386" s="163"/>
      <c r="K386" s="163"/>
      <c r="L386" s="163"/>
      <c r="M386" s="163"/>
      <c r="N386" s="163"/>
      <c r="O386" s="163"/>
      <c r="P386" s="163"/>
      <c r="Q386" s="163"/>
      <c r="R386" s="163"/>
      <c r="S386" s="163"/>
      <c r="T386" s="163"/>
      <c r="U386" s="178" t="s">
        <v>1271</v>
      </c>
      <c r="V386" s="165">
        <v>377029786</v>
      </c>
      <c r="W386" s="451">
        <v>0</v>
      </c>
      <c r="X386" s="165"/>
      <c r="Y386" s="165"/>
    </row>
    <row r="387" spans="1:25" ht="25.5">
      <c r="A387" s="181"/>
      <c r="B387" s="163"/>
      <c r="C387" s="163"/>
      <c r="D387" s="163"/>
      <c r="E387" s="163"/>
      <c r="F387" s="163"/>
      <c r="G387" s="163"/>
      <c r="H387" s="163"/>
      <c r="I387" s="163"/>
      <c r="J387" s="163"/>
      <c r="K387" s="163"/>
      <c r="L387" s="163"/>
      <c r="M387" s="163"/>
      <c r="N387" s="163"/>
      <c r="O387" s="163"/>
      <c r="P387" s="163"/>
      <c r="Q387" s="163"/>
      <c r="R387" s="163"/>
      <c r="S387" s="163"/>
      <c r="T387" s="163"/>
      <c r="U387" s="368" t="s">
        <v>2357</v>
      </c>
      <c r="V387" s="165"/>
      <c r="W387" s="451">
        <v>0</v>
      </c>
      <c r="X387" s="366">
        <v>5000000000</v>
      </c>
      <c r="Y387" s="366"/>
    </row>
    <row r="388" spans="1:25" s="184" customFormat="1">
      <c r="A388" s="181"/>
      <c r="B388" s="182"/>
      <c r="C388" s="182"/>
      <c r="D388" s="182"/>
      <c r="E388" s="182"/>
      <c r="F388" s="182"/>
      <c r="G388" s="182"/>
      <c r="H388" s="182"/>
      <c r="I388" s="182"/>
      <c r="J388" s="182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3"/>
      <c r="V388" s="168">
        <f>SUM(V361:V387)</f>
        <v>15036002071.200001</v>
      </c>
      <c r="W388" s="334">
        <f t="shared" ref="W388:Y388" si="110">SUM(W361:W387)</f>
        <v>39565861745.93</v>
      </c>
      <c r="X388" s="334">
        <f t="shared" si="110"/>
        <v>34388458304</v>
      </c>
      <c r="Y388" s="334">
        <f t="shared" si="110"/>
        <v>24535854419</v>
      </c>
    </row>
    <row r="389" spans="1:25" s="184" customFormat="1">
      <c r="A389" s="188"/>
      <c r="B389" s="189"/>
      <c r="C389" s="189"/>
      <c r="D389" s="189"/>
      <c r="E389" s="189"/>
      <c r="F389" s="189"/>
      <c r="G389" s="189"/>
      <c r="H389" s="189"/>
      <c r="I389" s="189"/>
      <c r="J389" s="189"/>
      <c r="K389" s="189"/>
      <c r="L389" s="189"/>
      <c r="M389" s="189"/>
      <c r="N389" s="189"/>
      <c r="O389" s="189"/>
      <c r="P389" s="189"/>
      <c r="Q389" s="189"/>
      <c r="R389" s="189"/>
      <c r="S389" s="189"/>
      <c r="T389" s="189"/>
      <c r="U389" s="190"/>
      <c r="V389" s="191"/>
      <c r="W389" s="358"/>
      <c r="X389" s="191"/>
      <c r="Y389" s="191"/>
    </row>
    <row r="390" spans="1:25" s="184" customFormat="1">
      <c r="A390" s="188"/>
      <c r="B390" s="189"/>
      <c r="C390" s="189"/>
      <c r="D390" s="189"/>
      <c r="E390" s="189"/>
      <c r="F390" s="189"/>
      <c r="G390" s="189"/>
      <c r="H390" s="189"/>
      <c r="I390" s="189"/>
      <c r="J390" s="189"/>
      <c r="K390" s="189"/>
      <c r="L390" s="189"/>
      <c r="M390" s="189"/>
      <c r="N390" s="189"/>
      <c r="O390" s="189"/>
      <c r="P390" s="189"/>
      <c r="Q390" s="189"/>
      <c r="R390" s="189"/>
      <c r="S390" s="189"/>
      <c r="T390" s="189"/>
      <c r="U390" s="190" t="s">
        <v>1218</v>
      </c>
      <c r="V390" s="191"/>
      <c r="W390" s="358"/>
      <c r="X390" s="191"/>
      <c r="Y390" s="191"/>
    </row>
    <row r="391" spans="1:25" s="184" customFormat="1">
      <c r="A391" s="188"/>
      <c r="B391" s="189"/>
      <c r="C391" s="189"/>
      <c r="D391" s="189"/>
      <c r="E391" s="189"/>
      <c r="F391" s="189"/>
      <c r="G391" s="189"/>
      <c r="H391" s="189"/>
      <c r="I391" s="189"/>
      <c r="J391" s="189"/>
      <c r="K391" s="189"/>
      <c r="L391" s="189"/>
      <c r="M391" s="189"/>
      <c r="N391" s="189"/>
      <c r="O391" s="189"/>
      <c r="P391" s="189"/>
      <c r="Q391" s="189"/>
      <c r="R391" s="189"/>
      <c r="S391" s="189"/>
      <c r="T391" s="189"/>
      <c r="U391" s="190" t="s">
        <v>1272</v>
      </c>
      <c r="V391" s="191">
        <v>2000000000</v>
      </c>
      <c r="W391" s="358"/>
      <c r="X391" s="191"/>
      <c r="Y391" s="191"/>
    </row>
    <row r="392" spans="1:25" s="184" customFormat="1">
      <c r="A392" s="477"/>
      <c r="B392" s="189"/>
      <c r="C392" s="189"/>
      <c r="D392" s="189"/>
      <c r="E392" s="189"/>
      <c r="F392" s="189"/>
      <c r="G392" s="189"/>
      <c r="H392" s="189"/>
      <c r="I392" s="189"/>
      <c r="J392" s="189"/>
      <c r="K392" s="189"/>
      <c r="L392" s="189"/>
      <c r="M392" s="189"/>
      <c r="N392" s="189"/>
      <c r="O392" s="189"/>
      <c r="P392" s="189"/>
      <c r="Q392" s="189"/>
      <c r="R392" s="189"/>
      <c r="S392" s="189"/>
      <c r="T392" s="189"/>
      <c r="U392" s="190"/>
      <c r="V392" s="191"/>
      <c r="W392" s="358"/>
      <c r="X392" s="191"/>
      <c r="Y392" s="191"/>
    </row>
    <row r="393" spans="1:25" s="184" customFormat="1">
      <c r="A393" s="188"/>
      <c r="B393" s="189"/>
      <c r="C393" s="189"/>
      <c r="D393" s="189"/>
      <c r="E393" s="189"/>
      <c r="F393" s="189"/>
      <c r="G393" s="189"/>
      <c r="H393" s="189"/>
      <c r="I393" s="189"/>
      <c r="J393" s="189"/>
      <c r="K393" s="189"/>
      <c r="L393" s="189"/>
      <c r="M393" s="189"/>
      <c r="N393" s="189"/>
      <c r="O393" s="189"/>
      <c r="P393" s="189"/>
      <c r="Q393" s="189"/>
      <c r="R393" s="189"/>
      <c r="S393" s="189"/>
      <c r="T393" s="189"/>
      <c r="U393" s="190"/>
      <c r="V393" s="191"/>
      <c r="W393" s="358"/>
      <c r="X393" s="191"/>
      <c r="Y393" s="191"/>
    </row>
    <row r="394" spans="1:25" s="184" customFormat="1" ht="25.5">
      <c r="A394" s="188"/>
      <c r="B394" s="189"/>
      <c r="C394" s="189"/>
      <c r="D394" s="189"/>
      <c r="E394" s="189"/>
      <c r="F394" s="189"/>
      <c r="G394" s="189"/>
      <c r="H394" s="189"/>
      <c r="I394" s="189"/>
      <c r="J394" s="189"/>
      <c r="K394" s="189"/>
      <c r="L394" s="189"/>
      <c r="M394" s="189"/>
      <c r="N394" s="189"/>
      <c r="O394" s="189"/>
      <c r="P394" s="189"/>
      <c r="Q394" s="189"/>
      <c r="R394" s="189"/>
      <c r="S394" s="189"/>
      <c r="T394" s="189"/>
      <c r="U394" s="190" t="s">
        <v>1273</v>
      </c>
      <c r="V394" s="191"/>
      <c r="W394" s="358"/>
      <c r="X394" s="191"/>
      <c r="Y394" s="191"/>
    </row>
    <row r="395" spans="1:25" s="184" customFormat="1">
      <c r="A395" s="188"/>
      <c r="B395" s="189"/>
      <c r="C395" s="189"/>
      <c r="D395" s="189"/>
      <c r="E395" s="189"/>
      <c r="F395" s="189"/>
      <c r="G395" s="189"/>
      <c r="H395" s="189"/>
      <c r="I395" s="189"/>
      <c r="J395" s="189"/>
      <c r="K395" s="189"/>
      <c r="L395" s="189"/>
      <c r="M395" s="189"/>
      <c r="N395" s="189"/>
      <c r="O395" s="189"/>
      <c r="P395" s="189"/>
      <c r="Q395" s="189"/>
      <c r="R395" s="189"/>
      <c r="S395" s="189"/>
      <c r="T395" s="189"/>
      <c r="U395" s="190" t="s">
        <v>1274</v>
      </c>
      <c r="V395" s="191">
        <v>704305713.99000001</v>
      </c>
      <c r="W395" s="358"/>
      <c r="X395" s="191"/>
      <c r="Y395" s="191"/>
    </row>
    <row r="396" spans="1:25" s="184" customFormat="1">
      <c r="A396" s="188"/>
      <c r="B396" s="189"/>
      <c r="C396" s="189"/>
      <c r="D396" s="189"/>
      <c r="E396" s="189"/>
      <c r="F396" s="189"/>
      <c r="G396" s="189"/>
      <c r="H396" s="189"/>
      <c r="I396" s="189"/>
      <c r="J396" s="189"/>
      <c r="K396" s="189"/>
      <c r="L396" s="189"/>
      <c r="M396" s="189"/>
      <c r="N396" s="189"/>
      <c r="O396" s="189"/>
      <c r="P396" s="189"/>
      <c r="Q396" s="189"/>
      <c r="R396" s="189"/>
      <c r="S396" s="189"/>
      <c r="T396" s="189"/>
      <c r="U396" s="190" t="s">
        <v>1219</v>
      </c>
      <c r="V396" s="191">
        <v>57416572.289999999</v>
      </c>
      <c r="W396" s="358"/>
      <c r="X396" s="191"/>
      <c r="Y396" s="191"/>
    </row>
    <row r="397" spans="1:25" s="184" customFormat="1" ht="13.5" thickBot="1">
      <c r="A397" s="188"/>
      <c r="B397" s="189"/>
      <c r="C397" s="189"/>
      <c r="D397" s="189"/>
      <c r="E397" s="189"/>
      <c r="F397" s="189"/>
      <c r="G397" s="189"/>
      <c r="H397" s="189"/>
      <c r="I397" s="189"/>
      <c r="J397" s="189"/>
      <c r="K397" s="189"/>
      <c r="L397" s="189"/>
      <c r="M397" s="189"/>
      <c r="N397" s="189"/>
      <c r="O397" s="189"/>
      <c r="P397" s="189"/>
      <c r="Q397" s="189"/>
      <c r="R397" s="189"/>
      <c r="S397" s="189"/>
      <c r="T397" s="189"/>
      <c r="U397" s="190"/>
      <c r="V397" s="354">
        <f>SUM(V395:V396)</f>
        <v>761722286.27999997</v>
      </c>
      <c r="W397" s="358"/>
      <c r="X397" s="191"/>
      <c r="Y397" s="191"/>
    </row>
    <row r="398" spans="1:25" s="184" customFormat="1">
      <c r="A398" s="188"/>
      <c r="B398" s="189"/>
      <c r="C398" s="189"/>
      <c r="D398" s="189"/>
      <c r="E398" s="189"/>
      <c r="F398" s="189"/>
      <c r="G398" s="189"/>
      <c r="H398" s="189"/>
      <c r="I398" s="189"/>
      <c r="J398" s="189"/>
      <c r="K398" s="189"/>
      <c r="L398" s="189"/>
      <c r="M398" s="189"/>
      <c r="N398" s="189"/>
      <c r="O398" s="189"/>
      <c r="P398" s="189"/>
      <c r="Q398" s="189"/>
      <c r="R398" s="189"/>
      <c r="S398" s="189"/>
      <c r="T398" s="189"/>
      <c r="U398" s="190"/>
      <c r="V398" s="191"/>
      <c r="W398" s="358"/>
      <c r="X398" s="191"/>
      <c r="Y398" s="191"/>
    </row>
    <row r="399" spans="1:25" s="184" customFormat="1" ht="28.5" customHeight="1">
      <c r="A399" s="188"/>
      <c r="B399" s="189"/>
      <c r="C399" s="189"/>
      <c r="D399" s="189"/>
      <c r="E399" s="189"/>
      <c r="F399" s="189"/>
      <c r="G399" s="189"/>
      <c r="H399" s="189"/>
      <c r="I399" s="189"/>
      <c r="J399" s="189"/>
      <c r="K399" s="189"/>
      <c r="L399" s="189"/>
      <c r="M399" s="189"/>
      <c r="N399" s="189"/>
      <c r="O399" s="189"/>
      <c r="P399" s="189"/>
      <c r="Q399" s="189"/>
      <c r="R399" s="189"/>
      <c r="S399" s="189"/>
      <c r="T399" s="189"/>
      <c r="U399" s="190" t="s">
        <v>1275</v>
      </c>
      <c r="V399" s="191"/>
      <c r="W399" s="358"/>
      <c r="X399" s="191"/>
      <c r="Y399" s="191"/>
    </row>
    <row r="400" spans="1:25" s="184" customFormat="1">
      <c r="A400" s="188"/>
      <c r="B400" s="189"/>
      <c r="C400" s="189"/>
      <c r="D400" s="189"/>
      <c r="E400" s="189"/>
      <c r="F400" s="189"/>
      <c r="G400" s="189"/>
      <c r="H400" s="189"/>
      <c r="I400" s="189"/>
      <c r="J400" s="189"/>
      <c r="K400" s="189"/>
      <c r="L400" s="189"/>
      <c r="M400" s="189"/>
      <c r="N400" s="189"/>
      <c r="O400" s="189"/>
      <c r="P400" s="189"/>
      <c r="Q400" s="189"/>
      <c r="R400" s="189"/>
      <c r="S400" s="189"/>
      <c r="T400" s="189"/>
      <c r="U400" s="190" t="s">
        <v>1274</v>
      </c>
      <c r="V400" s="191">
        <v>54071500</v>
      </c>
      <c r="W400" s="358"/>
      <c r="X400" s="191"/>
      <c r="Y400" s="191"/>
    </row>
    <row r="401" spans="1:25" s="184" customFormat="1">
      <c r="A401" s="188"/>
      <c r="B401" s="189"/>
      <c r="C401" s="189"/>
      <c r="D401" s="189"/>
      <c r="E401" s="189"/>
      <c r="F401" s="189"/>
      <c r="G401" s="189"/>
      <c r="H401" s="189"/>
      <c r="I401" s="189"/>
      <c r="J401" s="189"/>
      <c r="K401" s="189"/>
      <c r="L401" s="189"/>
      <c r="M401" s="189"/>
      <c r="N401" s="189"/>
      <c r="O401" s="189"/>
      <c r="P401" s="189"/>
      <c r="Q401" s="189"/>
      <c r="R401" s="189"/>
      <c r="S401" s="189"/>
      <c r="T401" s="189"/>
      <c r="U401" s="190" t="s">
        <v>1219</v>
      </c>
      <c r="V401" s="191">
        <v>54071500</v>
      </c>
      <c r="W401" s="358"/>
      <c r="X401" s="191"/>
      <c r="Y401" s="191"/>
    </row>
    <row r="402" spans="1:25" s="184" customFormat="1">
      <c r="A402" s="188"/>
      <c r="B402" s="189"/>
      <c r="C402" s="189"/>
      <c r="D402" s="189"/>
      <c r="E402" s="189"/>
      <c r="F402" s="189"/>
      <c r="G402" s="189"/>
      <c r="H402" s="189"/>
      <c r="I402" s="189"/>
      <c r="J402" s="189"/>
      <c r="K402" s="189"/>
      <c r="L402" s="189"/>
      <c r="M402" s="189"/>
      <c r="N402" s="189"/>
      <c r="O402" s="189"/>
      <c r="P402" s="189"/>
      <c r="Q402" s="189"/>
      <c r="R402" s="189"/>
      <c r="S402" s="189"/>
      <c r="T402" s="189"/>
      <c r="U402" s="190"/>
      <c r="V402" s="191">
        <f>SUM(V400:V401)</f>
        <v>108143000</v>
      </c>
      <c r="W402" s="358"/>
      <c r="X402" s="191"/>
      <c r="Y402" s="191"/>
    </row>
    <row r="403" spans="1:25" s="184" customFormat="1">
      <c r="A403" s="188"/>
      <c r="B403" s="189"/>
      <c r="C403" s="189"/>
      <c r="D403" s="189"/>
      <c r="E403" s="189"/>
      <c r="F403" s="189"/>
      <c r="G403" s="189"/>
      <c r="H403" s="189"/>
      <c r="I403" s="189"/>
      <c r="J403" s="189"/>
      <c r="K403" s="189"/>
      <c r="L403" s="189"/>
      <c r="M403" s="189"/>
      <c r="N403" s="189"/>
      <c r="O403" s="189"/>
      <c r="P403" s="189"/>
      <c r="Q403" s="189"/>
      <c r="R403" s="189"/>
      <c r="S403" s="189"/>
      <c r="T403" s="189"/>
      <c r="U403" s="190"/>
      <c r="V403" s="191"/>
      <c r="W403" s="358"/>
      <c r="X403" s="191"/>
      <c r="Y403" s="191"/>
    </row>
    <row r="404" spans="1:25" s="184" customFormat="1">
      <c r="A404" s="188"/>
      <c r="B404" s="189"/>
      <c r="C404" s="189"/>
      <c r="D404" s="189"/>
      <c r="E404" s="189"/>
      <c r="F404" s="189"/>
      <c r="G404" s="189"/>
      <c r="H404" s="189"/>
      <c r="I404" s="189"/>
      <c r="J404" s="189"/>
      <c r="K404" s="189"/>
      <c r="L404" s="189"/>
      <c r="M404" s="189"/>
      <c r="N404" s="189"/>
      <c r="O404" s="189"/>
      <c r="P404" s="189"/>
      <c r="Q404" s="189"/>
      <c r="R404" s="189"/>
      <c r="S404" s="189"/>
      <c r="T404" s="189"/>
      <c r="U404" s="190" t="s">
        <v>2183</v>
      </c>
      <c r="V404" s="191"/>
      <c r="W404" s="358"/>
      <c r="X404" s="191"/>
      <c r="Y404" s="191"/>
    </row>
    <row r="405" spans="1:25" s="184" customFormat="1" ht="15">
      <c r="A405" s="188"/>
      <c r="B405" s="189"/>
      <c r="C405" s="189"/>
      <c r="D405" s="189"/>
      <c r="E405" s="189"/>
      <c r="F405" s="189"/>
      <c r="G405" s="189"/>
      <c r="H405" s="189"/>
      <c r="I405" s="189"/>
      <c r="J405" s="189"/>
      <c r="K405" s="189"/>
      <c r="L405" s="189"/>
      <c r="M405" s="189"/>
      <c r="N405" s="189"/>
      <c r="O405" s="189"/>
      <c r="P405" s="189"/>
      <c r="Q405" s="189"/>
      <c r="R405" s="189"/>
      <c r="S405" s="189"/>
      <c r="T405" s="189"/>
      <c r="U405" s="442" t="s">
        <v>2181</v>
      </c>
      <c r="V405" s="191">
        <v>7705788694.8800001</v>
      </c>
      <c r="W405" s="358"/>
      <c r="X405" s="191"/>
      <c r="Y405" s="191"/>
    </row>
    <row r="406" spans="1:25" s="184" customFormat="1">
      <c r="A406" s="188"/>
      <c r="B406" s="189"/>
      <c r="C406" s="189"/>
      <c r="D406" s="189"/>
      <c r="E406" s="189"/>
      <c r="F406" s="189"/>
      <c r="G406" s="189"/>
      <c r="H406" s="189"/>
      <c r="I406" s="189"/>
      <c r="J406" s="189"/>
      <c r="K406" s="189"/>
      <c r="L406" s="189"/>
      <c r="M406" s="189"/>
      <c r="N406" s="189"/>
      <c r="O406" s="189"/>
      <c r="P406" s="189"/>
      <c r="Q406" s="189"/>
      <c r="R406" s="189"/>
      <c r="S406" s="189"/>
      <c r="T406" s="189"/>
      <c r="U406" s="190"/>
      <c r="V406" s="359"/>
      <c r="W406" s="358"/>
      <c r="X406" s="191"/>
      <c r="Y406" s="191"/>
    </row>
    <row r="407" spans="1:25" s="184" customFormat="1">
      <c r="A407" s="188"/>
      <c r="B407" s="189"/>
      <c r="C407" s="189"/>
      <c r="D407" s="189"/>
      <c r="E407" s="189"/>
      <c r="F407" s="189"/>
      <c r="G407" s="189"/>
      <c r="H407" s="189"/>
      <c r="I407" s="189"/>
      <c r="J407" s="189"/>
      <c r="K407" s="189"/>
      <c r="L407" s="189"/>
      <c r="M407" s="189"/>
      <c r="N407" s="189"/>
      <c r="O407" s="189"/>
      <c r="P407" s="189"/>
      <c r="Q407" s="189"/>
      <c r="R407" s="189"/>
      <c r="S407" s="189"/>
      <c r="T407" s="189"/>
      <c r="U407" s="190"/>
      <c r="V407" s="191"/>
      <c r="W407" s="358"/>
      <c r="X407" s="191"/>
      <c r="Y407" s="191"/>
    </row>
    <row r="408" spans="1:25" ht="26.25">
      <c r="A408" s="175" t="s">
        <v>130</v>
      </c>
      <c r="B408" s="176"/>
      <c r="C408" s="176"/>
      <c r="D408" s="176"/>
      <c r="E408" s="176"/>
      <c r="F408" s="176"/>
      <c r="G408" s="176"/>
      <c r="H408" s="176"/>
      <c r="I408" s="176"/>
      <c r="J408" s="176"/>
      <c r="K408" s="176"/>
      <c r="L408" s="176"/>
      <c r="M408" s="176"/>
      <c r="N408" s="176"/>
      <c r="O408" s="176"/>
      <c r="P408" s="176"/>
      <c r="Q408" s="176"/>
      <c r="R408" s="176"/>
      <c r="S408" s="176"/>
      <c r="T408" s="176"/>
      <c r="U408" s="176"/>
      <c r="V408" s="176"/>
      <c r="W408" s="345"/>
      <c r="X408" s="176"/>
      <c r="Y408" s="176"/>
    </row>
    <row r="409" spans="1:25" ht="25.5">
      <c r="A409" s="162"/>
      <c r="B409" s="162"/>
      <c r="C409" s="162"/>
      <c r="D409" s="162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  <c r="T409" s="162"/>
      <c r="U409" s="178" t="s">
        <v>2359</v>
      </c>
      <c r="V409" s="192">
        <v>13327972.41</v>
      </c>
      <c r="W409" s="451">
        <v>6663986.2050000001</v>
      </c>
      <c r="X409" s="279"/>
      <c r="Y409" s="179"/>
    </row>
    <row r="410" spans="1:25" ht="25.5">
      <c r="A410" s="162"/>
      <c r="B410" s="162"/>
      <c r="C410" s="162"/>
      <c r="D410" s="162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  <c r="T410" s="162"/>
      <c r="U410" s="178" t="s">
        <v>2358</v>
      </c>
      <c r="V410" s="192">
        <v>23943885.989999998</v>
      </c>
      <c r="W410" s="451">
        <v>3706948.63</v>
      </c>
      <c r="X410" s="279"/>
      <c r="Y410" s="179"/>
    </row>
    <row r="411" spans="1:25">
      <c r="A411" s="162"/>
      <c r="B411" s="162"/>
      <c r="C411" s="162"/>
      <c r="D411" s="162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  <c r="T411" s="162"/>
      <c r="U411" s="178" t="s">
        <v>2360</v>
      </c>
      <c r="V411" s="192"/>
      <c r="W411" s="451">
        <v>53927543.645000003</v>
      </c>
      <c r="X411" s="279"/>
      <c r="Y411" s="179"/>
    </row>
    <row r="412" spans="1:25">
      <c r="A412" s="162"/>
      <c r="B412" s="162"/>
      <c r="C412" s="162"/>
      <c r="D412" s="162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  <c r="T412" s="162"/>
      <c r="U412" s="178" t="s">
        <v>2361</v>
      </c>
      <c r="V412" s="192">
        <v>107855087.29000001</v>
      </c>
      <c r="W412" s="451">
        <v>40644263.640000001</v>
      </c>
      <c r="X412" s="279"/>
      <c r="Y412" s="179"/>
    </row>
    <row r="413" spans="1:25">
      <c r="A413" s="162"/>
      <c r="B413" s="162"/>
      <c r="C413" s="162"/>
      <c r="D413" s="162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  <c r="T413" s="162"/>
      <c r="U413" s="178" t="s">
        <v>2362</v>
      </c>
      <c r="V413" s="192">
        <v>113124284.25</v>
      </c>
      <c r="W413" s="451">
        <v>36499241.545000002</v>
      </c>
      <c r="X413" s="279"/>
      <c r="Y413" s="179"/>
    </row>
    <row r="414" spans="1:25" ht="25.5">
      <c r="A414" s="162"/>
      <c r="B414" s="162"/>
      <c r="C414" s="162"/>
      <c r="D414" s="162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  <c r="T414" s="162"/>
      <c r="U414" s="178" t="s">
        <v>2363</v>
      </c>
      <c r="V414" s="192">
        <v>20824365.5</v>
      </c>
      <c r="W414" s="451">
        <v>10412182.749999998</v>
      </c>
      <c r="X414" s="279"/>
      <c r="Y414" s="179"/>
    </row>
    <row r="415" spans="1:25">
      <c r="A415" s="162"/>
      <c r="B415" s="162"/>
      <c r="C415" s="162"/>
      <c r="D415" s="162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  <c r="T415" s="162"/>
      <c r="U415" s="178" t="s">
        <v>2364</v>
      </c>
      <c r="V415" s="192">
        <v>37034902.219999999</v>
      </c>
      <c r="W415" s="451">
        <v>15377732.17</v>
      </c>
      <c r="X415" s="279"/>
      <c r="Y415" s="179"/>
    </row>
    <row r="416" spans="1:25" ht="25.5">
      <c r="A416" s="162"/>
      <c r="B416" s="162"/>
      <c r="C416" s="162"/>
      <c r="D416" s="162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  <c r="T416" s="162"/>
      <c r="U416" s="178" t="s">
        <v>1276</v>
      </c>
      <c r="V416" s="192">
        <v>18771440.210000001</v>
      </c>
      <c r="W416" s="451">
        <v>6074941.0700000003</v>
      </c>
      <c r="X416" s="279"/>
      <c r="Y416" s="179"/>
    </row>
    <row r="417" spans="1:25">
      <c r="A417" s="162"/>
      <c r="B417" s="162"/>
      <c r="C417" s="162"/>
      <c r="D417" s="162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  <c r="T417" s="162"/>
      <c r="U417" s="178" t="s">
        <v>1277</v>
      </c>
      <c r="V417" s="192">
        <v>26218624.66</v>
      </c>
      <c r="W417" s="451">
        <v>9956219.5800000001</v>
      </c>
      <c r="X417" s="279"/>
      <c r="Y417" s="179"/>
    </row>
    <row r="418" spans="1:25" ht="25.5">
      <c r="A418" s="162"/>
      <c r="B418" s="162"/>
      <c r="C418" s="162"/>
      <c r="D418" s="162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  <c r="T418" s="162"/>
      <c r="U418" s="178" t="s">
        <v>2365</v>
      </c>
      <c r="V418" s="192">
        <v>8481637.5</v>
      </c>
      <c r="W418" s="451">
        <v>4240818.75</v>
      </c>
      <c r="X418" s="279"/>
      <c r="Y418" s="179"/>
    </row>
    <row r="419" spans="1:25">
      <c r="A419" s="162"/>
      <c r="B419" s="162"/>
      <c r="C419" s="162"/>
      <c r="D419" s="162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  <c r="T419" s="162"/>
      <c r="U419" s="178" t="s">
        <v>1278</v>
      </c>
      <c r="V419" s="192"/>
      <c r="W419" s="451">
        <v>3686728.73</v>
      </c>
      <c r="X419" s="279"/>
      <c r="Y419" s="179"/>
    </row>
    <row r="420" spans="1:25" ht="25.5">
      <c r="A420" s="162"/>
      <c r="B420" s="162"/>
      <c r="C420" s="162"/>
      <c r="D420" s="162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  <c r="T420" s="162"/>
      <c r="U420" s="178" t="s">
        <v>2366</v>
      </c>
      <c r="V420" s="192">
        <v>11365726.1</v>
      </c>
      <c r="W420" s="451">
        <v>5682863.0499999998</v>
      </c>
      <c r="X420" s="279"/>
      <c r="Y420" s="179"/>
    </row>
    <row r="421" spans="1:25">
      <c r="A421" s="162"/>
      <c r="B421" s="162"/>
      <c r="C421" s="162"/>
      <c r="D421" s="162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  <c r="T421" s="162"/>
      <c r="U421" s="178" t="s">
        <v>1279</v>
      </c>
      <c r="V421" s="192">
        <v>60000000</v>
      </c>
      <c r="W421" s="451">
        <v>30000000</v>
      </c>
      <c r="X421" s="279"/>
      <c r="Y421" s="179"/>
    </row>
    <row r="422" spans="1:25">
      <c r="A422" s="162"/>
      <c r="B422" s="162"/>
      <c r="C422" s="162"/>
      <c r="D422" s="162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  <c r="T422" s="162"/>
      <c r="U422" s="178" t="s">
        <v>2367</v>
      </c>
      <c r="V422" s="192"/>
      <c r="W422" s="451">
        <v>10941127.455</v>
      </c>
      <c r="X422" s="279"/>
      <c r="Y422" s="179"/>
    </row>
    <row r="423" spans="1:25" ht="25.5">
      <c r="A423" s="162"/>
      <c r="B423" s="162"/>
      <c r="C423" s="162"/>
      <c r="D423" s="162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  <c r="T423" s="162"/>
      <c r="U423" s="178" t="s">
        <v>2369</v>
      </c>
      <c r="V423" s="192">
        <v>159681548.25</v>
      </c>
      <c r="W423" s="451">
        <v>70442398.295000002</v>
      </c>
      <c r="X423" s="279"/>
      <c r="Y423" s="179"/>
    </row>
    <row r="424" spans="1:25" ht="25.5">
      <c r="A424" s="162"/>
      <c r="B424" s="162"/>
      <c r="C424" s="162"/>
      <c r="D424" s="162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  <c r="T424" s="162"/>
      <c r="U424" s="178" t="s">
        <v>2368</v>
      </c>
      <c r="V424" s="192"/>
      <c r="W424" s="451">
        <v>50000000</v>
      </c>
      <c r="X424" s="279"/>
      <c r="Y424" s="179"/>
    </row>
    <row r="425" spans="1:25" ht="25.5">
      <c r="A425" s="162"/>
      <c r="B425" s="162"/>
      <c r="C425" s="162"/>
      <c r="D425" s="162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  <c r="T425" s="162"/>
      <c r="U425" s="178" t="s">
        <v>2370</v>
      </c>
      <c r="V425" s="192"/>
      <c r="W425" s="451">
        <v>200000000</v>
      </c>
      <c r="X425" s="279"/>
      <c r="Y425" s="179"/>
    </row>
    <row r="426" spans="1:25" ht="25.5">
      <c r="A426" s="162"/>
      <c r="B426" s="162"/>
      <c r="C426" s="162"/>
      <c r="D426" s="162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  <c r="T426" s="162"/>
      <c r="U426" s="178" t="s">
        <v>1280</v>
      </c>
      <c r="V426" s="192"/>
      <c r="W426" s="451">
        <v>265000000</v>
      </c>
      <c r="X426" s="279"/>
      <c r="Y426" s="179"/>
    </row>
    <row r="427" spans="1:25" ht="25.5">
      <c r="A427" s="162"/>
      <c r="B427" s="162"/>
      <c r="C427" s="162"/>
      <c r="D427" s="162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  <c r="T427" s="162"/>
      <c r="U427" s="178" t="s">
        <v>1281</v>
      </c>
      <c r="V427" s="192"/>
      <c r="W427" s="451">
        <v>98200753.864999995</v>
      </c>
      <c r="X427" s="279"/>
      <c r="Y427" s="179"/>
    </row>
    <row r="428" spans="1:25">
      <c r="A428" s="162"/>
      <c r="B428" s="162"/>
      <c r="C428" s="162"/>
      <c r="D428" s="162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  <c r="T428" s="162"/>
      <c r="U428" s="178" t="s">
        <v>1282</v>
      </c>
      <c r="V428" s="192"/>
      <c r="W428" s="451">
        <v>95436396.265000001</v>
      </c>
      <c r="X428" s="279"/>
      <c r="Y428" s="179"/>
    </row>
    <row r="429" spans="1:25" ht="25.5">
      <c r="A429" s="162"/>
      <c r="B429" s="162"/>
      <c r="C429" s="162"/>
      <c r="D429" s="162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  <c r="T429" s="162"/>
      <c r="U429" s="178" t="s">
        <v>2371</v>
      </c>
      <c r="V429" s="192"/>
      <c r="W429" s="451">
        <v>18431663.18</v>
      </c>
      <c r="X429" s="279"/>
      <c r="Y429" s="179"/>
    </row>
    <row r="430" spans="1:25">
      <c r="A430" s="162"/>
      <c r="B430" s="162"/>
      <c r="C430" s="162"/>
      <c r="D430" s="162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  <c r="T430" s="162"/>
      <c r="U430" s="178" t="s">
        <v>1283</v>
      </c>
      <c r="V430" s="192"/>
      <c r="W430" s="451">
        <v>42381408.240000002</v>
      </c>
      <c r="X430" s="279"/>
      <c r="Y430" s="179"/>
    </row>
    <row r="431" spans="1:25">
      <c r="A431" s="162"/>
      <c r="B431" s="162"/>
      <c r="C431" s="162"/>
      <c r="D431" s="162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  <c r="T431" s="162"/>
      <c r="U431" s="178" t="s">
        <v>1283</v>
      </c>
      <c r="V431" s="192"/>
      <c r="W431" s="451">
        <v>41352068.295000002</v>
      </c>
      <c r="X431" s="279"/>
      <c r="Y431" s="179"/>
    </row>
    <row r="432" spans="1:25" ht="25.5">
      <c r="A432" s="162"/>
      <c r="B432" s="162"/>
      <c r="C432" s="162"/>
      <c r="D432" s="162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  <c r="T432" s="162"/>
      <c r="U432" s="178" t="s">
        <v>2372</v>
      </c>
      <c r="V432" s="192"/>
      <c r="W432" s="451">
        <v>38550591.725000001</v>
      </c>
      <c r="X432" s="279"/>
      <c r="Y432" s="179"/>
    </row>
    <row r="433" spans="1:25">
      <c r="A433" s="162"/>
      <c r="B433" s="162"/>
      <c r="C433" s="162"/>
      <c r="D433" s="162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  <c r="T433" s="162"/>
      <c r="U433" s="178" t="s">
        <v>2373</v>
      </c>
      <c r="V433" s="192"/>
      <c r="W433" s="451">
        <v>50000000</v>
      </c>
      <c r="X433" s="279"/>
      <c r="Y433" s="179"/>
    </row>
    <row r="434" spans="1:25" ht="25.5">
      <c r="A434" s="162"/>
      <c r="B434" s="162"/>
      <c r="C434" s="162"/>
      <c r="D434" s="162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  <c r="T434" s="162"/>
      <c r="U434" s="178" t="s">
        <v>1340</v>
      </c>
      <c r="V434" s="192"/>
      <c r="W434" s="451">
        <v>50000000</v>
      </c>
      <c r="X434" s="279"/>
      <c r="Y434" s="179"/>
    </row>
    <row r="435" spans="1:25">
      <c r="A435" s="162"/>
      <c r="B435" s="162"/>
      <c r="C435" s="162"/>
      <c r="D435" s="162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  <c r="T435" s="162"/>
      <c r="U435" s="178" t="s">
        <v>1286</v>
      </c>
      <c r="V435" s="192"/>
      <c r="W435" s="451">
        <v>7873910.1449999986</v>
      </c>
      <c r="X435" s="279"/>
      <c r="Y435" s="179"/>
    </row>
    <row r="436" spans="1:25">
      <c r="A436" s="162"/>
      <c r="B436" s="162"/>
      <c r="C436" s="162"/>
      <c r="D436" s="162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  <c r="T436" s="162"/>
      <c r="U436" s="178" t="s">
        <v>1287</v>
      </c>
      <c r="V436" s="192"/>
      <c r="W436" s="451">
        <v>34873393.829999998</v>
      </c>
      <c r="X436" s="279"/>
      <c r="Y436" s="179"/>
    </row>
    <row r="437" spans="1:25">
      <c r="A437" s="162"/>
      <c r="B437" s="162"/>
      <c r="C437" s="162"/>
      <c r="D437" s="162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  <c r="T437" s="162"/>
      <c r="U437" s="178" t="s">
        <v>1288</v>
      </c>
      <c r="V437" s="192"/>
      <c r="W437" s="451">
        <v>64561968.289999992</v>
      </c>
      <c r="X437" s="279"/>
      <c r="Y437" s="179"/>
    </row>
    <row r="438" spans="1:25" ht="25.5">
      <c r="A438" s="162"/>
      <c r="B438" s="162"/>
      <c r="C438" s="162"/>
      <c r="D438" s="162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  <c r="T438" s="162"/>
      <c r="U438" s="178" t="s">
        <v>1289</v>
      </c>
      <c r="V438" s="192"/>
      <c r="W438" s="451">
        <v>51352390.399999999</v>
      </c>
      <c r="X438" s="279"/>
      <c r="Y438" s="179"/>
    </row>
    <row r="439" spans="1:25" ht="25.5">
      <c r="A439" s="162"/>
      <c r="B439" s="162"/>
      <c r="C439" s="162"/>
      <c r="D439" s="162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  <c r="T439" s="162"/>
      <c r="U439" s="178" t="s">
        <v>1290</v>
      </c>
      <c r="V439" s="192"/>
      <c r="W439" s="451">
        <v>54681773.645000003</v>
      </c>
      <c r="X439" s="279"/>
      <c r="Y439" s="179"/>
    </row>
    <row r="440" spans="1:25" ht="25.5">
      <c r="A440" s="162"/>
      <c r="B440" s="162"/>
      <c r="C440" s="162"/>
      <c r="D440" s="162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  <c r="T440" s="162"/>
      <c r="U440" s="178" t="s">
        <v>1291</v>
      </c>
      <c r="V440" s="192"/>
      <c r="W440" s="451">
        <v>100000000</v>
      </c>
      <c r="X440" s="279"/>
      <c r="Y440" s="179"/>
    </row>
    <row r="441" spans="1:25" ht="25.5">
      <c r="A441" s="162"/>
      <c r="B441" s="162"/>
      <c r="C441" s="162"/>
      <c r="D441" s="162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  <c r="T441" s="162"/>
      <c r="U441" s="178" t="s">
        <v>1292</v>
      </c>
      <c r="V441" s="192"/>
      <c r="W441" s="451">
        <v>14445790.98</v>
      </c>
      <c r="X441" s="279"/>
      <c r="Y441" s="179"/>
    </row>
    <row r="442" spans="1:25" ht="25.5">
      <c r="A442" s="162"/>
      <c r="B442" s="162"/>
      <c r="C442" s="162"/>
      <c r="D442" s="162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  <c r="T442" s="162"/>
      <c r="U442" s="178" t="s">
        <v>1293</v>
      </c>
      <c r="V442" s="192"/>
      <c r="W442" s="451">
        <v>75000000</v>
      </c>
      <c r="X442" s="279"/>
      <c r="Y442" s="179"/>
    </row>
    <row r="443" spans="1:25">
      <c r="A443" s="162"/>
      <c r="B443" s="162"/>
      <c r="C443" s="162"/>
      <c r="D443" s="162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  <c r="T443" s="162"/>
      <c r="U443" s="178" t="s">
        <v>1294</v>
      </c>
      <c r="V443" s="192"/>
      <c r="W443" s="451">
        <v>10698093.539999997</v>
      </c>
      <c r="X443" s="279"/>
      <c r="Y443" s="179"/>
    </row>
    <row r="444" spans="1:25">
      <c r="A444" s="162"/>
      <c r="B444" s="162"/>
      <c r="C444" s="162"/>
      <c r="D444" s="162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  <c r="T444" s="162"/>
      <c r="U444" s="178" t="s">
        <v>1347</v>
      </c>
      <c r="V444" s="192"/>
      <c r="W444" s="451">
        <v>8497530.3000000007</v>
      </c>
      <c r="X444" s="279"/>
      <c r="Y444" s="179"/>
    </row>
    <row r="445" spans="1:25" ht="25.5">
      <c r="A445" s="162"/>
      <c r="B445" s="162"/>
      <c r="C445" s="162"/>
      <c r="D445" s="162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  <c r="T445" s="162"/>
      <c r="U445" s="178" t="s">
        <v>2374</v>
      </c>
      <c r="V445" s="192"/>
      <c r="W445" s="451">
        <v>75000000</v>
      </c>
      <c r="X445" s="279"/>
      <c r="Y445" s="179"/>
    </row>
    <row r="446" spans="1:25">
      <c r="A446" s="162"/>
      <c r="B446" s="162"/>
      <c r="C446" s="162"/>
      <c r="D446" s="162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  <c r="T446" s="162"/>
      <c r="U446" s="178" t="s">
        <v>2375</v>
      </c>
      <c r="V446" s="192"/>
      <c r="W446" s="451">
        <v>14217043.435000001</v>
      </c>
      <c r="X446" s="279"/>
      <c r="Y446" s="179"/>
    </row>
    <row r="447" spans="1:25">
      <c r="A447" s="162"/>
      <c r="B447" s="162"/>
      <c r="C447" s="162"/>
      <c r="D447" s="162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  <c r="T447" s="162"/>
      <c r="U447" s="178" t="s">
        <v>1296</v>
      </c>
      <c r="V447" s="192"/>
      <c r="W447" s="451">
        <v>12876672.414999999</v>
      </c>
      <c r="X447" s="279"/>
      <c r="Y447" s="179"/>
    </row>
    <row r="448" spans="1:25">
      <c r="A448" s="162"/>
      <c r="B448" s="162"/>
      <c r="C448" s="162"/>
      <c r="D448" s="162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  <c r="T448" s="162"/>
      <c r="U448" s="178" t="s">
        <v>1297</v>
      </c>
      <c r="V448" s="192"/>
      <c r="W448" s="451">
        <v>12083439.564999999</v>
      </c>
      <c r="X448" s="279"/>
      <c r="Y448" s="179"/>
    </row>
    <row r="449" spans="1:25" ht="25.5">
      <c r="A449" s="162"/>
      <c r="B449" s="162"/>
      <c r="C449" s="162"/>
      <c r="D449" s="162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  <c r="T449" s="162"/>
      <c r="U449" s="178" t="s">
        <v>1352</v>
      </c>
      <c r="V449" s="192"/>
      <c r="W449" s="451">
        <v>88201398.135000005</v>
      </c>
      <c r="X449" s="279"/>
      <c r="Y449" s="179"/>
    </row>
    <row r="450" spans="1:25">
      <c r="A450" s="162"/>
      <c r="B450" s="162"/>
      <c r="C450" s="162"/>
      <c r="D450" s="162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  <c r="T450" s="162"/>
      <c r="U450" s="178" t="s">
        <v>1298</v>
      </c>
      <c r="V450" s="192"/>
      <c r="W450" s="451">
        <v>7060796.6299999999</v>
      </c>
      <c r="X450" s="279"/>
      <c r="Y450" s="179"/>
    </row>
    <row r="451" spans="1:25" ht="25.5">
      <c r="A451" s="162"/>
      <c r="B451" s="162"/>
      <c r="C451" s="162"/>
      <c r="D451" s="162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  <c r="T451" s="162"/>
      <c r="U451" s="178" t="s">
        <v>1299</v>
      </c>
      <c r="V451" s="192"/>
      <c r="W451" s="451">
        <v>4090259.7850000001</v>
      </c>
      <c r="X451" s="279"/>
      <c r="Y451" s="179"/>
    </row>
    <row r="452" spans="1:25">
      <c r="A452" s="162"/>
      <c r="B452" s="162"/>
      <c r="C452" s="162"/>
      <c r="D452" s="162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  <c r="T452" s="162"/>
      <c r="U452" s="178" t="s">
        <v>1300</v>
      </c>
      <c r="V452" s="192"/>
      <c r="W452" s="451">
        <v>11137195.819999998</v>
      </c>
      <c r="X452" s="279"/>
      <c r="Y452" s="179"/>
    </row>
    <row r="453" spans="1:25">
      <c r="A453" s="162"/>
      <c r="B453" s="162"/>
      <c r="C453" s="162"/>
      <c r="D453" s="162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  <c r="T453" s="162"/>
      <c r="U453" s="178" t="s">
        <v>1301</v>
      </c>
      <c r="V453" s="192"/>
      <c r="W453" s="451">
        <v>5015243.9249999998</v>
      </c>
      <c r="X453" s="279"/>
      <c r="Y453" s="179"/>
    </row>
    <row r="454" spans="1:25" ht="25.5">
      <c r="A454" s="162"/>
      <c r="B454" s="162"/>
      <c r="C454" s="162"/>
      <c r="D454" s="162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  <c r="T454" s="162"/>
      <c r="U454" s="178" t="s">
        <v>2376</v>
      </c>
      <c r="V454" s="192"/>
      <c r="W454" s="451">
        <v>18019619.59</v>
      </c>
      <c r="X454" s="279"/>
      <c r="Y454" s="179"/>
    </row>
    <row r="455" spans="1:25" ht="25.5">
      <c r="A455" s="162"/>
      <c r="B455" s="162"/>
      <c r="C455" s="162"/>
      <c r="D455" s="162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  <c r="T455" s="162"/>
      <c r="U455" s="178" t="s">
        <v>1302</v>
      </c>
      <c r="V455" s="192"/>
      <c r="W455" s="451">
        <v>6270292.9450000003</v>
      </c>
      <c r="X455" s="279"/>
      <c r="Y455" s="179"/>
    </row>
    <row r="456" spans="1:25">
      <c r="A456" s="162"/>
      <c r="B456" s="162"/>
      <c r="C456" s="162"/>
      <c r="D456" s="162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  <c r="T456" s="162"/>
      <c r="U456" s="178" t="s">
        <v>1303</v>
      </c>
      <c r="V456" s="192"/>
      <c r="W456" s="451">
        <v>12094681.25</v>
      </c>
      <c r="X456" s="279"/>
      <c r="Y456" s="179"/>
    </row>
    <row r="457" spans="1:25" ht="25.5">
      <c r="A457" s="162"/>
      <c r="B457" s="162"/>
      <c r="C457" s="162"/>
      <c r="D457" s="162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  <c r="T457" s="162"/>
      <c r="U457" s="178" t="s">
        <v>2377</v>
      </c>
      <c r="V457" s="192"/>
      <c r="W457" s="451">
        <v>6821519.625</v>
      </c>
      <c r="X457" s="279"/>
      <c r="Y457" s="179"/>
    </row>
    <row r="458" spans="1:25" ht="25.5">
      <c r="A458" s="162"/>
      <c r="B458" s="162"/>
      <c r="C458" s="162"/>
      <c r="D458" s="162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  <c r="T458" s="162"/>
      <c r="U458" s="178" t="s">
        <v>1304</v>
      </c>
      <c r="V458" s="192"/>
      <c r="W458" s="451">
        <v>5735923.8550000004</v>
      </c>
      <c r="X458" s="279"/>
      <c r="Y458" s="179"/>
    </row>
    <row r="459" spans="1:25">
      <c r="A459" s="162"/>
      <c r="B459" s="162"/>
      <c r="C459" s="162"/>
      <c r="D459" s="162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  <c r="T459" s="162"/>
      <c r="U459" s="178" t="s">
        <v>1305</v>
      </c>
      <c r="V459" s="192"/>
      <c r="W459" s="451">
        <v>5472307.6200000001</v>
      </c>
      <c r="X459" s="279"/>
      <c r="Y459" s="179"/>
    </row>
    <row r="460" spans="1:25" ht="25.5">
      <c r="A460" s="162"/>
      <c r="B460" s="162"/>
      <c r="C460" s="162"/>
      <c r="D460" s="162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  <c r="T460" s="162"/>
      <c r="U460" s="178" t="s">
        <v>2378</v>
      </c>
      <c r="V460" s="192"/>
      <c r="W460" s="451">
        <v>31486434.315000001</v>
      </c>
      <c r="X460" s="279"/>
      <c r="Y460" s="179"/>
    </row>
    <row r="461" spans="1:25" ht="25.5">
      <c r="A461" s="162"/>
      <c r="B461" s="162"/>
      <c r="C461" s="162"/>
      <c r="D461" s="162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  <c r="T461" s="162"/>
      <c r="U461" s="178" t="s">
        <v>2379</v>
      </c>
      <c r="V461" s="192"/>
      <c r="W461" s="451">
        <v>11156812.5</v>
      </c>
      <c r="X461" s="279"/>
      <c r="Y461" s="179"/>
    </row>
    <row r="462" spans="1:25">
      <c r="A462" s="162"/>
      <c r="B462" s="162"/>
      <c r="C462" s="162"/>
      <c r="D462" s="162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  <c r="T462" s="162"/>
      <c r="U462" s="178" t="s">
        <v>1306</v>
      </c>
      <c r="V462" s="192"/>
      <c r="W462" s="451">
        <v>8011496.3199999994</v>
      </c>
      <c r="X462" s="279"/>
      <c r="Y462" s="179"/>
    </row>
    <row r="463" spans="1:25">
      <c r="A463" s="162"/>
      <c r="B463" s="162"/>
      <c r="C463" s="162"/>
      <c r="D463" s="162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  <c r="T463" s="162"/>
      <c r="U463" s="178" t="s">
        <v>1307</v>
      </c>
      <c r="V463" s="192"/>
      <c r="W463" s="451">
        <v>3600000</v>
      </c>
      <c r="X463" s="279"/>
      <c r="Y463" s="179"/>
    </row>
    <row r="464" spans="1:25">
      <c r="A464" s="162"/>
      <c r="B464" s="162"/>
      <c r="C464" s="162"/>
      <c r="D464" s="162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  <c r="T464" s="162"/>
      <c r="U464" s="178" t="s">
        <v>1308</v>
      </c>
      <c r="V464" s="192"/>
      <c r="W464" s="451">
        <v>9000000</v>
      </c>
      <c r="X464" s="279"/>
      <c r="Y464" s="179"/>
    </row>
    <row r="465" spans="1:25" ht="25.5">
      <c r="A465" s="162"/>
      <c r="B465" s="162"/>
      <c r="C465" s="162"/>
      <c r="D465" s="162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  <c r="T465" s="162"/>
      <c r="U465" s="178" t="s">
        <v>1309</v>
      </c>
      <c r="V465" s="192"/>
      <c r="W465" s="451">
        <v>25191875</v>
      </c>
      <c r="X465" s="279"/>
      <c r="Y465" s="179"/>
    </row>
    <row r="466" spans="1:25">
      <c r="A466" s="162"/>
      <c r="B466" s="162"/>
      <c r="C466" s="162"/>
      <c r="D466" s="162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  <c r="T466" s="162"/>
      <c r="U466" s="178" t="s">
        <v>1310</v>
      </c>
      <c r="V466" s="192"/>
      <c r="W466" s="451">
        <v>14971793.715</v>
      </c>
      <c r="X466" s="279"/>
      <c r="Y466" s="179"/>
    </row>
    <row r="467" spans="1:25" ht="25.5">
      <c r="A467" s="162"/>
      <c r="B467" s="162"/>
      <c r="C467" s="162"/>
      <c r="D467" s="162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  <c r="T467" s="162"/>
      <c r="U467" s="178" t="s">
        <v>1311</v>
      </c>
      <c r="V467" s="192"/>
      <c r="W467" s="451">
        <v>5027787.0449999999</v>
      </c>
      <c r="X467" s="279"/>
      <c r="Y467" s="179"/>
    </row>
    <row r="468" spans="1:25" ht="25.5">
      <c r="A468" s="162"/>
      <c r="B468" s="162"/>
      <c r="C468" s="162"/>
      <c r="D468" s="162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  <c r="T468" s="162"/>
      <c r="U468" s="178" t="s">
        <v>1312</v>
      </c>
      <c r="V468" s="192"/>
      <c r="W468" s="451">
        <v>16097087.375</v>
      </c>
      <c r="X468" s="279"/>
      <c r="Y468" s="179"/>
    </row>
    <row r="469" spans="1:25" ht="25.5">
      <c r="A469" s="162"/>
      <c r="B469" s="162"/>
      <c r="C469" s="162"/>
      <c r="D469" s="162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  <c r="T469" s="162"/>
      <c r="U469" s="178" t="s">
        <v>1313</v>
      </c>
      <c r="V469" s="192"/>
      <c r="W469" s="451">
        <v>5545642.71</v>
      </c>
      <c r="X469" s="279"/>
      <c r="Y469" s="179"/>
    </row>
    <row r="470" spans="1:25" ht="25.5">
      <c r="A470" s="162"/>
      <c r="B470" s="162"/>
      <c r="C470" s="162"/>
      <c r="D470" s="162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  <c r="T470" s="162"/>
      <c r="U470" s="178" t="s">
        <v>1314</v>
      </c>
      <c r="V470" s="192"/>
      <c r="W470" s="451">
        <v>3724565.47</v>
      </c>
      <c r="X470" s="279"/>
      <c r="Y470" s="179"/>
    </row>
    <row r="471" spans="1:25">
      <c r="A471" s="162"/>
      <c r="B471" s="162"/>
      <c r="C471" s="162"/>
      <c r="D471" s="162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  <c r="T471" s="162"/>
      <c r="U471" s="178" t="s">
        <v>1315</v>
      </c>
      <c r="V471" s="192"/>
      <c r="W471" s="451">
        <v>6200000</v>
      </c>
      <c r="X471" s="279"/>
      <c r="Y471" s="179"/>
    </row>
    <row r="472" spans="1:25" ht="25.5">
      <c r="A472" s="162"/>
      <c r="B472" s="162"/>
      <c r="C472" s="162"/>
      <c r="D472" s="162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  <c r="T472" s="162"/>
      <c r="U472" s="178" t="s">
        <v>1316</v>
      </c>
      <c r="V472" s="192"/>
      <c r="W472" s="451">
        <v>75000000</v>
      </c>
      <c r="X472" s="279"/>
      <c r="Y472" s="179"/>
    </row>
    <row r="473" spans="1:25" ht="25.5">
      <c r="A473" s="162"/>
      <c r="B473" s="162"/>
      <c r="C473" s="162"/>
      <c r="D473" s="162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  <c r="T473" s="162"/>
      <c r="U473" s="178" t="s">
        <v>1317</v>
      </c>
      <c r="V473" s="192"/>
      <c r="W473" s="451">
        <v>50000000</v>
      </c>
      <c r="X473" s="279"/>
      <c r="Y473" s="179"/>
    </row>
    <row r="474" spans="1:25" ht="25.5">
      <c r="A474" s="162"/>
      <c r="B474" s="162"/>
      <c r="C474" s="162"/>
      <c r="D474" s="162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  <c r="T474" s="162"/>
      <c r="U474" s="178" t="s">
        <v>2380</v>
      </c>
      <c r="V474" s="192"/>
      <c r="W474" s="451">
        <v>5744798.8899999997</v>
      </c>
      <c r="X474" s="279"/>
      <c r="Y474" s="179"/>
    </row>
    <row r="475" spans="1:25" ht="25.5">
      <c r="A475" s="162"/>
      <c r="B475" s="162"/>
      <c r="C475" s="162"/>
      <c r="D475" s="162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  <c r="T475" s="162"/>
      <c r="U475" s="178" t="s">
        <v>1318</v>
      </c>
      <c r="V475" s="192"/>
      <c r="W475" s="451">
        <v>30792851.25</v>
      </c>
      <c r="X475" s="279"/>
      <c r="Y475" s="179"/>
    </row>
    <row r="476" spans="1:25">
      <c r="A476" s="162"/>
      <c r="B476" s="162"/>
      <c r="C476" s="162"/>
      <c r="D476" s="162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  <c r="T476" s="162"/>
      <c r="U476" s="178" t="s">
        <v>1319</v>
      </c>
      <c r="V476" s="192"/>
      <c r="W476" s="451">
        <v>5801204.4400000004</v>
      </c>
      <c r="X476" s="279"/>
      <c r="Y476" s="179"/>
    </row>
    <row r="477" spans="1:25">
      <c r="A477" s="162"/>
      <c r="B477" s="162"/>
      <c r="C477" s="162"/>
      <c r="D477" s="162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  <c r="T477" s="162"/>
      <c r="U477" s="178" t="s">
        <v>1320</v>
      </c>
      <c r="V477" s="192"/>
      <c r="W477" s="451">
        <v>11857669.66</v>
      </c>
      <c r="X477" s="279"/>
      <c r="Y477" s="179"/>
    </row>
    <row r="478" spans="1:25" ht="25.5">
      <c r="A478" s="162"/>
      <c r="B478" s="162"/>
      <c r="C478" s="162"/>
      <c r="D478" s="162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  <c r="T478" s="162"/>
      <c r="U478" s="178" t="s">
        <v>1321</v>
      </c>
      <c r="V478" s="192"/>
      <c r="W478" s="451">
        <v>7055040.8250000002</v>
      </c>
      <c r="X478" s="279"/>
      <c r="Y478" s="179"/>
    </row>
    <row r="479" spans="1:25" ht="25.5">
      <c r="A479" s="162"/>
      <c r="B479" s="162"/>
      <c r="C479" s="162"/>
      <c r="D479" s="162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  <c r="T479" s="162"/>
      <c r="U479" s="178" t="s">
        <v>2381</v>
      </c>
      <c r="V479" s="192"/>
      <c r="W479" s="451">
        <v>26961066.564999998</v>
      </c>
      <c r="X479" s="279"/>
      <c r="Y479" s="179"/>
    </row>
    <row r="480" spans="1:25" ht="25.5">
      <c r="A480" s="162"/>
      <c r="B480" s="162"/>
      <c r="C480" s="162"/>
      <c r="D480" s="162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  <c r="T480" s="162"/>
      <c r="U480" s="178" t="s">
        <v>2382</v>
      </c>
      <c r="V480" s="192"/>
      <c r="W480" s="451">
        <v>13356702.449999999</v>
      </c>
      <c r="X480" s="279"/>
      <c r="Y480" s="179"/>
    </row>
    <row r="481" spans="1:25" ht="25.5">
      <c r="A481" s="162"/>
      <c r="B481" s="162"/>
      <c r="C481" s="162"/>
      <c r="D481" s="162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  <c r="T481" s="162"/>
      <c r="U481" s="178" t="s">
        <v>1412</v>
      </c>
      <c r="V481" s="192"/>
      <c r="W481" s="451">
        <v>3875216.6249999995</v>
      </c>
      <c r="X481" s="279"/>
      <c r="Y481" s="179"/>
    </row>
    <row r="482" spans="1:25" ht="25.5">
      <c r="A482" s="162"/>
      <c r="B482" s="162"/>
      <c r="C482" s="162"/>
      <c r="D482" s="162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  <c r="T482" s="162"/>
      <c r="U482" s="178" t="s">
        <v>1322</v>
      </c>
      <c r="V482" s="192"/>
      <c r="W482" s="451">
        <v>50000000</v>
      </c>
      <c r="X482" s="279"/>
      <c r="Y482" s="179"/>
    </row>
    <row r="483" spans="1:25">
      <c r="A483" s="162"/>
      <c r="B483" s="162"/>
      <c r="C483" s="162"/>
      <c r="D483" s="162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  <c r="T483" s="162"/>
      <c r="U483" s="178" t="s">
        <v>1323</v>
      </c>
      <c r="V483" s="192"/>
      <c r="W483" s="451">
        <v>48324609.770000003</v>
      </c>
      <c r="X483" s="279"/>
      <c r="Y483" s="179"/>
    </row>
    <row r="484" spans="1:25" ht="25.5">
      <c r="A484" s="162"/>
      <c r="B484" s="162"/>
      <c r="C484" s="162"/>
      <c r="D484" s="162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  <c r="T484" s="162"/>
      <c r="U484" s="178" t="s">
        <v>2383</v>
      </c>
      <c r="V484" s="192"/>
      <c r="W484" s="451">
        <v>25000000</v>
      </c>
      <c r="X484" s="279"/>
      <c r="Y484" s="179"/>
    </row>
    <row r="485" spans="1:25" ht="25.5">
      <c r="A485" s="162"/>
      <c r="B485" s="162"/>
      <c r="C485" s="162"/>
      <c r="D485" s="162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  <c r="T485" s="162"/>
      <c r="U485" s="178" t="s">
        <v>2384</v>
      </c>
      <c r="V485" s="192"/>
      <c r="W485" s="451">
        <v>11027529.66</v>
      </c>
      <c r="X485" s="279"/>
      <c r="Y485" s="179"/>
    </row>
    <row r="486" spans="1:25" ht="25.5">
      <c r="A486" s="162"/>
      <c r="B486" s="162"/>
      <c r="C486" s="162"/>
      <c r="D486" s="162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  <c r="T486" s="162"/>
      <c r="U486" s="178" t="s">
        <v>2385</v>
      </c>
      <c r="V486" s="192"/>
      <c r="W486" s="451">
        <v>0</v>
      </c>
      <c r="X486" s="279"/>
      <c r="Y486" s="179"/>
    </row>
    <row r="487" spans="1:25" ht="25.5">
      <c r="A487" s="162"/>
      <c r="B487" s="162"/>
      <c r="C487" s="162"/>
      <c r="D487" s="162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  <c r="T487" s="162"/>
      <c r="U487" s="178" t="s">
        <v>2386</v>
      </c>
      <c r="V487" s="192"/>
      <c r="W487" s="451">
        <v>0</v>
      </c>
      <c r="X487" s="279"/>
      <c r="Y487" s="179"/>
    </row>
    <row r="488" spans="1:25">
      <c r="A488" s="162"/>
      <c r="B488" s="162"/>
      <c r="C488" s="162"/>
      <c r="D488" s="162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  <c r="T488" s="162"/>
      <c r="U488" s="178" t="s">
        <v>2387</v>
      </c>
      <c r="V488" s="192"/>
      <c r="W488" s="451">
        <v>0</v>
      </c>
      <c r="X488" s="279"/>
      <c r="Y488" s="179"/>
    </row>
    <row r="489" spans="1:25" ht="25.5">
      <c r="A489" s="162"/>
      <c r="B489" s="162"/>
      <c r="C489" s="162"/>
      <c r="D489" s="162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  <c r="T489" s="162"/>
      <c r="U489" s="178" t="s">
        <v>2388</v>
      </c>
      <c r="V489" s="192"/>
      <c r="W489" s="451">
        <v>0</v>
      </c>
      <c r="X489" s="279"/>
      <c r="Y489" s="179"/>
    </row>
    <row r="490" spans="1:25" ht="38.25">
      <c r="A490" s="162"/>
      <c r="B490" s="162"/>
      <c r="C490" s="162"/>
      <c r="D490" s="162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2"/>
      <c r="U490" s="178" t="s">
        <v>2389</v>
      </c>
      <c r="V490" s="192"/>
      <c r="W490" s="451">
        <v>0</v>
      </c>
      <c r="X490" s="279"/>
      <c r="Y490" s="179"/>
    </row>
    <row r="491" spans="1:25" ht="25.5">
      <c r="A491" s="162"/>
      <c r="B491" s="162"/>
      <c r="C491" s="162"/>
      <c r="D491" s="162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2"/>
      <c r="U491" s="178" t="s">
        <v>2390</v>
      </c>
      <c r="V491" s="192"/>
      <c r="W491" s="451">
        <v>0</v>
      </c>
      <c r="X491" s="283">
        <v>150474600</v>
      </c>
      <c r="Y491" s="179"/>
    </row>
    <row r="492" spans="1:25">
      <c r="A492" s="162"/>
      <c r="B492" s="179"/>
      <c r="C492" s="179"/>
      <c r="D492" s="179"/>
      <c r="E492" s="179"/>
      <c r="F492" s="179"/>
      <c r="G492" s="179"/>
      <c r="H492" s="179"/>
      <c r="I492" s="179"/>
      <c r="J492" s="179"/>
      <c r="K492" s="179"/>
      <c r="L492" s="179"/>
      <c r="M492" s="179"/>
      <c r="N492" s="179"/>
      <c r="O492" s="179"/>
      <c r="P492" s="179"/>
      <c r="Q492" s="179"/>
      <c r="R492" s="179"/>
      <c r="S492" s="180"/>
      <c r="T492" s="179"/>
      <c r="U492" s="166" t="s">
        <v>1328</v>
      </c>
      <c r="V492" s="165">
        <v>1695112.37</v>
      </c>
      <c r="W492" s="451">
        <v>0</v>
      </c>
      <c r="X492" s="279"/>
      <c r="Y492" s="163"/>
    </row>
    <row r="493" spans="1:25">
      <c r="A493" s="162"/>
      <c r="B493" s="179"/>
      <c r="C493" s="179"/>
      <c r="D493" s="179"/>
      <c r="E493" s="179"/>
      <c r="F493" s="179"/>
      <c r="G493" s="179"/>
      <c r="H493" s="179"/>
      <c r="I493" s="179"/>
      <c r="J493" s="179"/>
      <c r="K493" s="179"/>
      <c r="L493" s="179"/>
      <c r="M493" s="179"/>
      <c r="N493" s="179"/>
      <c r="O493" s="179"/>
      <c r="P493" s="179"/>
      <c r="Q493" s="179"/>
      <c r="R493" s="179"/>
      <c r="S493" s="180"/>
      <c r="T493" s="179"/>
      <c r="U493" s="166" t="s">
        <v>1329</v>
      </c>
      <c r="V493" s="165">
        <v>4802818.74</v>
      </c>
      <c r="W493" s="451">
        <v>0</v>
      </c>
      <c r="X493" s="279"/>
      <c r="Y493" s="163"/>
    </row>
    <row r="494" spans="1:25">
      <c r="A494" s="162"/>
      <c r="B494" s="179"/>
      <c r="C494" s="179"/>
      <c r="D494" s="179"/>
      <c r="E494" s="179"/>
      <c r="F494" s="179"/>
      <c r="G494" s="179"/>
      <c r="H494" s="179"/>
      <c r="I494" s="179"/>
      <c r="J494" s="179"/>
      <c r="K494" s="179"/>
      <c r="L494" s="179"/>
      <c r="M494" s="179"/>
      <c r="N494" s="179"/>
      <c r="O494" s="179"/>
      <c r="P494" s="179"/>
      <c r="Q494" s="179"/>
      <c r="R494" s="179"/>
      <c r="S494" s="180"/>
      <c r="T494" s="179"/>
      <c r="U494" s="166" t="s">
        <v>1330</v>
      </c>
      <c r="V494" s="165">
        <v>4802818.74</v>
      </c>
      <c r="W494" s="451">
        <v>0</v>
      </c>
      <c r="X494" s="279"/>
      <c r="Y494" s="163"/>
    </row>
    <row r="495" spans="1:25">
      <c r="A495" s="162"/>
      <c r="B495" s="179"/>
      <c r="C495" s="179"/>
      <c r="D495" s="179"/>
      <c r="E495" s="179"/>
      <c r="F495" s="179"/>
      <c r="G495" s="179"/>
      <c r="H495" s="179"/>
      <c r="I495" s="179"/>
      <c r="J495" s="179"/>
      <c r="K495" s="179"/>
      <c r="L495" s="179"/>
      <c r="M495" s="179"/>
      <c r="N495" s="179"/>
      <c r="O495" s="179"/>
      <c r="P495" s="179"/>
      <c r="Q495" s="179"/>
      <c r="R495" s="179"/>
      <c r="S495" s="180"/>
      <c r="T495" s="179"/>
      <c r="U495" s="166" t="s">
        <v>1331</v>
      </c>
      <c r="V495" s="165">
        <v>1695112.9</v>
      </c>
      <c r="W495" s="451">
        <v>0</v>
      </c>
      <c r="X495" s="279"/>
      <c r="Y495" s="163"/>
    </row>
    <row r="496" spans="1:25" ht="25.5">
      <c r="A496" s="162"/>
      <c r="B496" s="179"/>
      <c r="C496" s="179"/>
      <c r="D496" s="179"/>
      <c r="E496" s="179"/>
      <c r="F496" s="179"/>
      <c r="G496" s="179"/>
      <c r="H496" s="179"/>
      <c r="I496" s="179"/>
      <c r="J496" s="179"/>
      <c r="K496" s="179"/>
      <c r="L496" s="179"/>
      <c r="M496" s="179"/>
      <c r="N496" s="179"/>
      <c r="O496" s="179"/>
      <c r="P496" s="179"/>
      <c r="Q496" s="179"/>
      <c r="R496" s="179"/>
      <c r="S496" s="180"/>
      <c r="T496" s="179"/>
      <c r="U496" s="166" t="s">
        <v>1332</v>
      </c>
      <c r="V496" s="165">
        <v>50000000</v>
      </c>
      <c r="W496" s="451">
        <v>0</v>
      </c>
      <c r="X496" s="279"/>
      <c r="Y496" s="163"/>
    </row>
    <row r="497" spans="1:25" ht="25.5">
      <c r="A497" s="162"/>
      <c r="B497" s="179"/>
      <c r="C497" s="179"/>
      <c r="D497" s="179"/>
      <c r="E497" s="179"/>
      <c r="F497" s="179"/>
      <c r="G497" s="179"/>
      <c r="H497" s="179"/>
      <c r="I497" s="179"/>
      <c r="J497" s="179"/>
      <c r="K497" s="179"/>
      <c r="L497" s="179"/>
      <c r="M497" s="179"/>
      <c r="N497" s="179"/>
      <c r="O497" s="179"/>
      <c r="P497" s="179"/>
      <c r="Q497" s="179"/>
      <c r="R497" s="179"/>
      <c r="S497" s="180"/>
      <c r="T497" s="179"/>
      <c r="U497" s="166" t="s">
        <v>1333</v>
      </c>
      <c r="V497" s="165">
        <v>22055059.32</v>
      </c>
      <c r="W497" s="451">
        <v>0</v>
      </c>
      <c r="X497" s="279"/>
      <c r="Y497" s="163"/>
    </row>
    <row r="498" spans="1:25" ht="25.5">
      <c r="A498" s="162"/>
      <c r="B498" s="179"/>
      <c r="C498" s="179"/>
      <c r="D498" s="179"/>
      <c r="E498" s="179"/>
      <c r="F498" s="179"/>
      <c r="G498" s="179"/>
      <c r="H498" s="179"/>
      <c r="I498" s="179"/>
      <c r="J498" s="179"/>
      <c r="K498" s="179"/>
      <c r="L498" s="179"/>
      <c r="M498" s="179"/>
      <c r="N498" s="179"/>
      <c r="O498" s="179"/>
      <c r="P498" s="179"/>
      <c r="Q498" s="179"/>
      <c r="R498" s="179"/>
      <c r="S498" s="180"/>
      <c r="T498" s="179"/>
      <c r="U498" s="166" t="s">
        <v>1334</v>
      </c>
      <c r="V498" s="165">
        <v>100000000</v>
      </c>
      <c r="W498" s="451">
        <v>0</v>
      </c>
      <c r="X498" s="279"/>
      <c r="Y498" s="163"/>
    </row>
    <row r="499" spans="1:25" ht="25.5">
      <c r="A499" s="162"/>
      <c r="B499" s="179"/>
      <c r="C499" s="179"/>
      <c r="D499" s="179"/>
      <c r="E499" s="179"/>
      <c r="F499" s="179"/>
      <c r="G499" s="179"/>
      <c r="H499" s="179"/>
      <c r="I499" s="179"/>
      <c r="J499" s="179"/>
      <c r="K499" s="179"/>
      <c r="L499" s="179"/>
      <c r="M499" s="179"/>
      <c r="N499" s="179"/>
      <c r="O499" s="179"/>
      <c r="P499" s="179"/>
      <c r="Q499" s="179"/>
      <c r="R499" s="179"/>
      <c r="S499" s="180"/>
      <c r="T499" s="179"/>
      <c r="U499" s="166" t="s">
        <v>2391</v>
      </c>
      <c r="V499" s="165">
        <v>400000000</v>
      </c>
      <c r="W499" s="451">
        <v>0</v>
      </c>
      <c r="X499" s="279"/>
      <c r="Y499" s="163"/>
    </row>
    <row r="500" spans="1:25" ht="25.5">
      <c r="A500" s="162"/>
      <c r="B500" s="179"/>
      <c r="C500" s="179"/>
      <c r="D500" s="179"/>
      <c r="E500" s="179"/>
      <c r="F500" s="179"/>
      <c r="G500" s="179"/>
      <c r="H500" s="179"/>
      <c r="I500" s="179"/>
      <c r="J500" s="179"/>
      <c r="K500" s="179"/>
      <c r="L500" s="179"/>
      <c r="M500" s="179"/>
      <c r="N500" s="179"/>
      <c r="O500" s="179"/>
      <c r="P500" s="179"/>
      <c r="Q500" s="179"/>
      <c r="R500" s="179"/>
      <c r="S500" s="180"/>
      <c r="T500" s="179"/>
      <c r="U500" s="166" t="s">
        <v>1335</v>
      </c>
      <c r="V500" s="165">
        <v>530000000</v>
      </c>
      <c r="W500" s="451">
        <v>0</v>
      </c>
      <c r="X500" s="279"/>
      <c r="Y500" s="163"/>
    </row>
    <row r="501" spans="1:25" ht="25.5">
      <c r="A501" s="162"/>
      <c r="B501" s="179"/>
      <c r="C501" s="179"/>
      <c r="D501" s="179"/>
      <c r="E501" s="179"/>
      <c r="F501" s="179"/>
      <c r="G501" s="179"/>
      <c r="H501" s="179"/>
      <c r="I501" s="179"/>
      <c r="J501" s="179"/>
      <c r="K501" s="179"/>
      <c r="L501" s="179"/>
      <c r="M501" s="179"/>
      <c r="N501" s="179"/>
      <c r="O501" s="179"/>
      <c r="P501" s="179"/>
      <c r="Q501" s="179"/>
      <c r="R501" s="179"/>
      <c r="S501" s="180"/>
      <c r="T501" s="179"/>
      <c r="U501" s="166" t="s">
        <v>1336</v>
      </c>
      <c r="V501" s="165">
        <v>595592784.23000002</v>
      </c>
      <c r="W501" s="451">
        <v>0</v>
      </c>
      <c r="X501" s="279"/>
      <c r="Y501" s="163"/>
    </row>
    <row r="502" spans="1:25" ht="25.5">
      <c r="A502" s="162"/>
      <c r="B502" s="179"/>
      <c r="C502" s="179"/>
      <c r="D502" s="179"/>
      <c r="E502" s="179"/>
      <c r="F502" s="179"/>
      <c r="G502" s="179"/>
      <c r="H502" s="179"/>
      <c r="I502" s="179"/>
      <c r="J502" s="179"/>
      <c r="K502" s="179"/>
      <c r="L502" s="179"/>
      <c r="M502" s="179"/>
      <c r="N502" s="179"/>
      <c r="O502" s="179"/>
      <c r="P502" s="179"/>
      <c r="Q502" s="179"/>
      <c r="R502" s="179"/>
      <c r="S502" s="180"/>
      <c r="T502" s="179"/>
      <c r="U502" s="166" t="s">
        <v>1281</v>
      </c>
      <c r="V502" s="165">
        <v>220248345</v>
      </c>
      <c r="W502" s="451">
        <v>0</v>
      </c>
      <c r="X502" s="279"/>
      <c r="Y502" s="163"/>
    </row>
    <row r="503" spans="1:25">
      <c r="A503" s="162"/>
      <c r="B503" s="179"/>
      <c r="C503" s="179"/>
      <c r="D503" s="179"/>
      <c r="E503" s="179"/>
      <c r="F503" s="179"/>
      <c r="G503" s="179"/>
      <c r="H503" s="179"/>
      <c r="I503" s="179"/>
      <c r="J503" s="179"/>
      <c r="K503" s="179"/>
      <c r="L503" s="179"/>
      <c r="M503" s="179"/>
      <c r="N503" s="179"/>
      <c r="O503" s="179"/>
      <c r="P503" s="179"/>
      <c r="Q503" s="179"/>
      <c r="R503" s="179"/>
      <c r="S503" s="180"/>
      <c r="T503" s="179"/>
      <c r="U503" s="166" t="s">
        <v>1282</v>
      </c>
      <c r="V503" s="165">
        <v>202331083.75</v>
      </c>
      <c r="W503" s="451">
        <v>0</v>
      </c>
      <c r="X503" s="279"/>
      <c r="Y503" s="163"/>
    </row>
    <row r="504" spans="1:25">
      <c r="A504" s="162"/>
      <c r="B504" s="179"/>
      <c r="C504" s="179"/>
      <c r="D504" s="179"/>
      <c r="E504" s="179"/>
      <c r="F504" s="179"/>
      <c r="G504" s="179"/>
      <c r="H504" s="179"/>
      <c r="I504" s="179"/>
      <c r="J504" s="179"/>
      <c r="K504" s="179"/>
      <c r="L504" s="179"/>
      <c r="M504" s="179"/>
      <c r="N504" s="179"/>
      <c r="O504" s="179"/>
      <c r="P504" s="179"/>
      <c r="Q504" s="179"/>
      <c r="R504" s="179"/>
      <c r="S504" s="180"/>
      <c r="T504" s="179"/>
      <c r="U504" s="166" t="s">
        <v>1337</v>
      </c>
      <c r="V504" s="165">
        <v>4533848.53</v>
      </c>
      <c r="W504" s="451">
        <v>0</v>
      </c>
      <c r="X504" s="279"/>
      <c r="Y504" s="163"/>
    </row>
    <row r="505" spans="1:25" ht="25.5">
      <c r="A505" s="162"/>
      <c r="B505" s="179"/>
      <c r="C505" s="179"/>
      <c r="D505" s="179"/>
      <c r="E505" s="179"/>
      <c r="F505" s="179"/>
      <c r="G505" s="179"/>
      <c r="H505" s="179"/>
      <c r="I505" s="179"/>
      <c r="J505" s="179"/>
      <c r="K505" s="179"/>
      <c r="L505" s="179"/>
      <c r="M505" s="179"/>
      <c r="N505" s="179"/>
      <c r="O505" s="179"/>
      <c r="P505" s="179"/>
      <c r="Q505" s="179"/>
      <c r="R505" s="179"/>
      <c r="S505" s="180"/>
      <c r="T505" s="179"/>
      <c r="U505" s="166" t="s">
        <v>1338</v>
      </c>
      <c r="V505" s="165">
        <v>36863326.359999999</v>
      </c>
      <c r="W505" s="451">
        <v>0</v>
      </c>
      <c r="X505" s="279"/>
      <c r="Y505" s="163"/>
    </row>
    <row r="506" spans="1:25">
      <c r="A506" s="162"/>
      <c r="B506" s="179"/>
      <c r="C506" s="179"/>
      <c r="D506" s="179"/>
      <c r="E506" s="179"/>
      <c r="F506" s="179"/>
      <c r="G506" s="179"/>
      <c r="H506" s="179"/>
      <c r="I506" s="179"/>
      <c r="J506" s="179"/>
      <c r="K506" s="179"/>
      <c r="L506" s="179"/>
      <c r="M506" s="179"/>
      <c r="N506" s="179"/>
      <c r="O506" s="179"/>
      <c r="P506" s="179"/>
      <c r="Q506" s="179"/>
      <c r="R506" s="179"/>
      <c r="S506" s="180"/>
      <c r="T506" s="179"/>
      <c r="U506" s="166" t="s">
        <v>1283</v>
      </c>
      <c r="V506" s="165">
        <v>84762816.480000004</v>
      </c>
      <c r="W506" s="451">
        <v>0</v>
      </c>
      <c r="X506" s="279"/>
      <c r="Y506" s="163"/>
    </row>
    <row r="507" spans="1:25">
      <c r="A507" s="162"/>
      <c r="B507" s="179"/>
      <c r="C507" s="179"/>
      <c r="D507" s="179"/>
      <c r="E507" s="179"/>
      <c r="F507" s="179"/>
      <c r="G507" s="179"/>
      <c r="H507" s="179"/>
      <c r="I507" s="179"/>
      <c r="J507" s="179"/>
      <c r="K507" s="179"/>
      <c r="L507" s="179"/>
      <c r="M507" s="179"/>
      <c r="N507" s="179"/>
      <c r="O507" s="179"/>
      <c r="P507" s="179"/>
      <c r="Q507" s="179"/>
      <c r="R507" s="179"/>
      <c r="S507" s="180"/>
      <c r="T507" s="179"/>
      <c r="U507" s="166" t="s">
        <v>1283</v>
      </c>
      <c r="V507" s="165">
        <v>82704136.590000004</v>
      </c>
      <c r="W507" s="451">
        <v>0</v>
      </c>
      <c r="X507" s="279"/>
      <c r="Y507" s="163"/>
    </row>
    <row r="508" spans="1:25" ht="25.5">
      <c r="A508" s="162"/>
      <c r="B508" s="179"/>
      <c r="C508" s="179"/>
      <c r="D508" s="179"/>
      <c r="E508" s="179"/>
      <c r="F508" s="179"/>
      <c r="G508" s="179"/>
      <c r="H508" s="179"/>
      <c r="I508" s="179"/>
      <c r="J508" s="179"/>
      <c r="K508" s="179"/>
      <c r="L508" s="179"/>
      <c r="M508" s="179"/>
      <c r="N508" s="179"/>
      <c r="O508" s="179"/>
      <c r="P508" s="179"/>
      <c r="Q508" s="179"/>
      <c r="R508" s="179"/>
      <c r="S508" s="180"/>
      <c r="T508" s="179"/>
      <c r="U508" s="166" t="s">
        <v>1284</v>
      </c>
      <c r="V508" s="165">
        <v>77101183.450000003</v>
      </c>
      <c r="W508" s="451">
        <v>0</v>
      </c>
      <c r="X508" s="279"/>
      <c r="Y508" s="163"/>
    </row>
    <row r="509" spans="1:25">
      <c r="A509" s="162"/>
      <c r="B509" s="179"/>
      <c r="C509" s="179"/>
      <c r="D509" s="179"/>
      <c r="E509" s="179"/>
      <c r="F509" s="179"/>
      <c r="G509" s="179"/>
      <c r="H509" s="179"/>
      <c r="I509" s="179"/>
      <c r="J509" s="179"/>
      <c r="K509" s="179"/>
      <c r="L509" s="179"/>
      <c r="M509" s="179"/>
      <c r="N509" s="179"/>
      <c r="O509" s="179"/>
      <c r="P509" s="179"/>
      <c r="Q509" s="179"/>
      <c r="R509" s="179"/>
      <c r="S509" s="180"/>
      <c r="T509" s="179"/>
      <c r="U509" s="166" t="s">
        <v>1285</v>
      </c>
      <c r="V509" s="165">
        <v>100000000</v>
      </c>
      <c r="W509" s="451">
        <v>0</v>
      </c>
      <c r="X509" s="279"/>
      <c r="Y509" s="163"/>
    </row>
    <row r="510" spans="1:25">
      <c r="A510" s="162"/>
      <c r="B510" s="179"/>
      <c r="C510" s="179"/>
      <c r="D510" s="179"/>
      <c r="E510" s="179"/>
      <c r="F510" s="179"/>
      <c r="G510" s="179"/>
      <c r="H510" s="179"/>
      <c r="I510" s="179"/>
      <c r="J510" s="179"/>
      <c r="K510" s="179"/>
      <c r="L510" s="179"/>
      <c r="M510" s="179"/>
      <c r="N510" s="179"/>
      <c r="O510" s="179"/>
      <c r="P510" s="179"/>
      <c r="Q510" s="179"/>
      <c r="R510" s="179"/>
      <c r="S510" s="180"/>
      <c r="T510" s="179"/>
      <c r="U510" s="166" t="s">
        <v>1339</v>
      </c>
      <c r="V510" s="165">
        <v>13773248.220000001</v>
      </c>
      <c r="W510" s="451">
        <v>0</v>
      </c>
      <c r="X510" s="279"/>
      <c r="Y510" s="163"/>
    </row>
    <row r="511" spans="1:25" ht="25.5">
      <c r="A511" s="162"/>
      <c r="B511" s="179"/>
      <c r="C511" s="179"/>
      <c r="D511" s="179"/>
      <c r="E511" s="179"/>
      <c r="F511" s="179"/>
      <c r="G511" s="179"/>
      <c r="H511" s="179"/>
      <c r="I511" s="179"/>
      <c r="J511" s="179"/>
      <c r="K511" s="179"/>
      <c r="L511" s="179"/>
      <c r="M511" s="179"/>
      <c r="N511" s="179"/>
      <c r="O511" s="179"/>
      <c r="P511" s="179"/>
      <c r="Q511" s="179"/>
      <c r="R511" s="179"/>
      <c r="S511" s="180"/>
      <c r="T511" s="179"/>
      <c r="U511" s="166" t="s">
        <v>1340</v>
      </c>
      <c r="V511" s="165">
        <v>100000000</v>
      </c>
      <c r="W511" s="451">
        <v>0</v>
      </c>
      <c r="X511" s="279"/>
      <c r="Y511" s="163"/>
    </row>
    <row r="512" spans="1:25">
      <c r="A512" s="162"/>
      <c r="B512" s="179"/>
      <c r="C512" s="179"/>
      <c r="D512" s="179"/>
      <c r="E512" s="179"/>
      <c r="F512" s="179"/>
      <c r="G512" s="179"/>
      <c r="H512" s="179"/>
      <c r="I512" s="179"/>
      <c r="J512" s="179"/>
      <c r="K512" s="179"/>
      <c r="L512" s="179"/>
      <c r="M512" s="179"/>
      <c r="N512" s="179"/>
      <c r="O512" s="179"/>
      <c r="P512" s="179"/>
      <c r="Q512" s="179"/>
      <c r="R512" s="179"/>
      <c r="S512" s="180"/>
      <c r="T512" s="179"/>
      <c r="U512" s="166" t="s">
        <v>1286</v>
      </c>
      <c r="V512" s="165">
        <v>15747820.289999999</v>
      </c>
      <c r="W512" s="451">
        <v>0</v>
      </c>
      <c r="X512" s="279"/>
      <c r="Y512" s="163"/>
    </row>
    <row r="513" spans="1:25">
      <c r="A513" s="162"/>
      <c r="B513" s="179"/>
      <c r="C513" s="179"/>
      <c r="D513" s="179"/>
      <c r="E513" s="179"/>
      <c r="F513" s="179"/>
      <c r="G513" s="179"/>
      <c r="H513" s="179"/>
      <c r="I513" s="179"/>
      <c r="J513" s="179"/>
      <c r="K513" s="179"/>
      <c r="L513" s="179"/>
      <c r="M513" s="179"/>
      <c r="N513" s="179"/>
      <c r="O513" s="179"/>
      <c r="P513" s="179"/>
      <c r="Q513" s="179"/>
      <c r="R513" s="179"/>
      <c r="S513" s="180"/>
      <c r="T513" s="179"/>
      <c r="U513" s="166" t="s">
        <v>1287</v>
      </c>
      <c r="V513" s="165">
        <v>69746787.659999996</v>
      </c>
      <c r="W513" s="451">
        <v>0</v>
      </c>
      <c r="X513" s="279"/>
      <c r="Y513" s="163"/>
    </row>
    <row r="514" spans="1:25">
      <c r="A514" s="162"/>
      <c r="B514" s="179"/>
      <c r="C514" s="179"/>
      <c r="D514" s="179"/>
      <c r="E514" s="179"/>
      <c r="F514" s="179"/>
      <c r="G514" s="179"/>
      <c r="H514" s="179"/>
      <c r="I514" s="179"/>
      <c r="J514" s="179"/>
      <c r="K514" s="179"/>
      <c r="L514" s="179"/>
      <c r="M514" s="179"/>
      <c r="N514" s="179"/>
      <c r="O514" s="179"/>
      <c r="P514" s="179"/>
      <c r="Q514" s="179"/>
      <c r="R514" s="179"/>
      <c r="S514" s="180"/>
      <c r="T514" s="179"/>
      <c r="U514" s="166" t="s">
        <v>1288</v>
      </c>
      <c r="V514" s="165">
        <v>129123936.58</v>
      </c>
      <c r="W514" s="451">
        <v>0</v>
      </c>
      <c r="X514" s="279"/>
      <c r="Y514" s="163"/>
    </row>
    <row r="515" spans="1:25" ht="25.5">
      <c r="A515" s="162"/>
      <c r="B515" s="179"/>
      <c r="C515" s="179"/>
      <c r="D515" s="179"/>
      <c r="E515" s="179"/>
      <c r="F515" s="179"/>
      <c r="G515" s="179"/>
      <c r="H515" s="179"/>
      <c r="I515" s="179"/>
      <c r="J515" s="179"/>
      <c r="K515" s="179"/>
      <c r="L515" s="179"/>
      <c r="M515" s="179"/>
      <c r="N515" s="179"/>
      <c r="O515" s="179"/>
      <c r="P515" s="179"/>
      <c r="Q515" s="179"/>
      <c r="R515" s="179"/>
      <c r="S515" s="180"/>
      <c r="T515" s="179"/>
      <c r="U515" s="166" t="s">
        <v>1289</v>
      </c>
      <c r="V515" s="165">
        <v>117460992.43000001</v>
      </c>
      <c r="W515" s="451">
        <v>0</v>
      </c>
      <c r="X515" s="279"/>
      <c r="Y515" s="163"/>
    </row>
    <row r="516" spans="1:25" ht="25.5">
      <c r="A516" s="162"/>
      <c r="B516" s="179"/>
      <c r="C516" s="179"/>
      <c r="D516" s="179"/>
      <c r="E516" s="179"/>
      <c r="F516" s="179"/>
      <c r="G516" s="179"/>
      <c r="H516" s="179"/>
      <c r="I516" s="179"/>
      <c r="J516" s="179"/>
      <c r="K516" s="179"/>
      <c r="L516" s="179"/>
      <c r="M516" s="179"/>
      <c r="N516" s="179"/>
      <c r="O516" s="179"/>
      <c r="P516" s="179"/>
      <c r="Q516" s="179"/>
      <c r="R516" s="179"/>
      <c r="S516" s="180"/>
      <c r="T516" s="179"/>
      <c r="U516" s="166" t="s">
        <v>1290</v>
      </c>
      <c r="V516" s="165">
        <v>109363547.29000001</v>
      </c>
      <c r="W516" s="451">
        <v>0</v>
      </c>
      <c r="X516" s="279"/>
      <c r="Y516" s="163"/>
    </row>
    <row r="517" spans="1:25">
      <c r="A517" s="162"/>
      <c r="B517" s="179"/>
      <c r="C517" s="179"/>
      <c r="D517" s="179"/>
      <c r="E517" s="179"/>
      <c r="F517" s="179"/>
      <c r="G517" s="179"/>
      <c r="H517" s="179"/>
      <c r="I517" s="179"/>
      <c r="J517" s="179"/>
      <c r="K517" s="179"/>
      <c r="L517" s="179"/>
      <c r="M517" s="179"/>
      <c r="N517" s="179"/>
      <c r="O517" s="179"/>
      <c r="P517" s="179"/>
      <c r="Q517" s="179"/>
      <c r="R517" s="179"/>
      <c r="S517" s="180"/>
      <c r="T517" s="179"/>
      <c r="U517" s="166" t="s">
        <v>1341</v>
      </c>
      <c r="V517" s="165">
        <v>107298512.48999999</v>
      </c>
      <c r="W517" s="451">
        <v>0</v>
      </c>
      <c r="X517" s="279"/>
      <c r="Y517" s="163"/>
    </row>
    <row r="518" spans="1:25">
      <c r="A518" s="162"/>
      <c r="B518" s="179"/>
      <c r="C518" s="179"/>
      <c r="D518" s="179"/>
      <c r="E518" s="179"/>
      <c r="F518" s="179"/>
      <c r="G518" s="179"/>
      <c r="H518" s="179"/>
      <c r="I518" s="179"/>
      <c r="J518" s="179"/>
      <c r="K518" s="179"/>
      <c r="L518" s="179"/>
      <c r="M518" s="179"/>
      <c r="N518" s="179"/>
      <c r="O518" s="179"/>
      <c r="P518" s="179"/>
      <c r="Q518" s="179"/>
      <c r="R518" s="179"/>
      <c r="S518" s="180"/>
      <c r="T518" s="179"/>
      <c r="U518" s="166" t="s">
        <v>1342</v>
      </c>
      <c r="V518" s="165">
        <v>40000000</v>
      </c>
      <c r="W518" s="451">
        <v>0</v>
      </c>
      <c r="X518" s="283">
        <v>46452050</v>
      </c>
      <c r="Y518" s="163"/>
    </row>
    <row r="519" spans="1:25" ht="25.5">
      <c r="A519" s="162"/>
      <c r="B519" s="179"/>
      <c r="C519" s="179"/>
      <c r="D519" s="179"/>
      <c r="E519" s="179"/>
      <c r="F519" s="179"/>
      <c r="G519" s="179"/>
      <c r="H519" s="179"/>
      <c r="I519" s="179"/>
      <c r="J519" s="179"/>
      <c r="K519" s="179"/>
      <c r="L519" s="179"/>
      <c r="M519" s="179"/>
      <c r="N519" s="179"/>
      <c r="O519" s="179"/>
      <c r="P519" s="179"/>
      <c r="Q519" s="179"/>
      <c r="R519" s="179"/>
      <c r="S519" s="180"/>
      <c r="T519" s="179"/>
      <c r="U519" s="166" t="s">
        <v>1343</v>
      </c>
      <c r="V519" s="165">
        <v>200000000</v>
      </c>
      <c r="W519" s="451">
        <v>0</v>
      </c>
      <c r="X519" s="279"/>
      <c r="Y519" s="163"/>
    </row>
    <row r="520" spans="1:25">
      <c r="A520" s="162"/>
      <c r="B520" s="179"/>
      <c r="C520" s="179"/>
      <c r="D520" s="179"/>
      <c r="E520" s="179"/>
      <c r="F520" s="179"/>
      <c r="G520" s="179"/>
      <c r="H520" s="179"/>
      <c r="I520" s="179"/>
      <c r="J520" s="179"/>
      <c r="K520" s="179"/>
      <c r="L520" s="179"/>
      <c r="M520" s="179"/>
      <c r="N520" s="179"/>
      <c r="O520" s="179"/>
      <c r="P520" s="179"/>
      <c r="Q520" s="179"/>
      <c r="R520" s="179"/>
      <c r="S520" s="180"/>
      <c r="T520" s="179"/>
      <c r="U520" s="166" t="s">
        <v>1344</v>
      </c>
      <c r="V520" s="165">
        <v>4198087.08</v>
      </c>
      <c r="W520" s="451">
        <v>0</v>
      </c>
      <c r="X520" s="279"/>
      <c r="Y520" s="163"/>
    </row>
    <row r="521" spans="1:25">
      <c r="A521" s="162"/>
      <c r="B521" s="179"/>
      <c r="C521" s="179"/>
      <c r="D521" s="179"/>
      <c r="E521" s="179"/>
      <c r="F521" s="179"/>
      <c r="G521" s="179"/>
      <c r="H521" s="179"/>
      <c r="I521" s="179"/>
      <c r="J521" s="179"/>
      <c r="K521" s="179"/>
      <c r="L521" s="179"/>
      <c r="M521" s="179"/>
      <c r="N521" s="179"/>
      <c r="O521" s="179"/>
      <c r="P521" s="179"/>
      <c r="Q521" s="179"/>
      <c r="R521" s="179"/>
      <c r="S521" s="180"/>
      <c r="T521" s="179"/>
      <c r="U521" s="166" t="s">
        <v>1345</v>
      </c>
      <c r="V521" s="165">
        <v>4828134.2699999996</v>
      </c>
      <c r="W521" s="451">
        <v>0</v>
      </c>
      <c r="X521" s="279"/>
      <c r="Y521" s="163"/>
    </row>
    <row r="522" spans="1:25" ht="25.5">
      <c r="A522" s="162"/>
      <c r="B522" s="179"/>
      <c r="C522" s="179"/>
      <c r="D522" s="179"/>
      <c r="E522" s="179"/>
      <c r="F522" s="179"/>
      <c r="G522" s="179"/>
      <c r="H522" s="179"/>
      <c r="I522" s="179"/>
      <c r="J522" s="179"/>
      <c r="K522" s="179"/>
      <c r="L522" s="179"/>
      <c r="M522" s="179"/>
      <c r="N522" s="179"/>
      <c r="O522" s="179"/>
      <c r="P522" s="179"/>
      <c r="Q522" s="179"/>
      <c r="R522" s="179"/>
      <c r="S522" s="180"/>
      <c r="T522" s="179"/>
      <c r="U522" s="166" t="s">
        <v>1292</v>
      </c>
      <c r="V522" s="165">
        <v>123609931.3</v>
      </c>
      <c r="W522" s="451">
        <v>0</v>
      </c>
      <c r="X522" s="279"/>
      <c r="Y522" s="163"/>
    </row>
    <row r="523" spans="1:25" ht="25.5">
      <c r="A523" s="162"/>
      <c r="B523" s="179"/>
      <c r="C523" s="179"/>
      <c r="D523" s="179"/>
      <c r="E523" s="179"/>
      <c r="F523" s="179"/>
      <c r="G523" s="179"/>
      <c r="H523" s="179"/>
      <c r="I523" s="179"/>
      <c r="J523" s="179"/>
      <c r="K523" s="179"/>
      <c r="L523" s="179"/>
      <c r="M523" s="179"/>
      <c r="N523" s="179"/>
      <c r="O523" s="179"/>
      <c r="P523" s="179"/>
      <c r="Q523" s="179"/>
      <c r="R523" s="179"/>
      <c r="S523" s="180"/>
      <c r="T523" s="179"/>
      <c r="U523" s="166" t="s">
        <v>1346</v>
      </c>
      <c r="V523" s="165">
        <v>200000000</v>
      </c>
      <c r="W523" s="451">
        <v>0</v>
      </c>
      <c r="X523" s="279"/>
      <c r="Y523" s="163"/>
    </row>
    <row r="524" spans="1:25" ht="25.5">
      <c r="A524" s="162"/>
      <c r="B524" s="179"/>
      <c r="C524" s="179"/>
      <c r="D524" s="179"/>
      <c r="E524" s="179"/>
      <c r="F524" s="179"/>
      <c r="G524" s="179"/>
      <c r="H524" s="179"/>
      <c r="I524" s="179"/>
      <c r="J524" s="179"/>
      <c r="K524" s="179"/>
      <c r="L524" s="179"/>
      <c r="M524" s="179"/>
      <c r="N524" s="179"/>
      <c r="O524" s="179"/>
      <c r="P524" s="179"/>
      <c r="Q524" s="179"/>
      <c r="R524" s="179"/>
      <c r="S524" s="180"/>
      <c r="T524" s="179"/>
      <c r="U524" s="166" t="s">
        <v>1293</v>
      </c>
      <c r="V524" s="165">
        <v>150000000</v>
      </c>
      <c r="W524" s="451">
        <v>0</v>
      </c>
      <c r="X524" s="279"/>
      <c r="Y524" s="163"/>
    </row>
    <row r="525" spans="1:25">
      <c r="A525" s="162"/>
      <c r="B525" s="179"/>
      <c r="C525" s="179"/>
      <c r="D525" s="179"/>
      <c r="E525" s="179"/>
      <c r="F525" s="179"/>
      <c r="G525" s="179"/>
      <c r="H525" s="179"/>
      <c r="I525" s="179"/>
      <c r="J525" s="179"/>
      <c r="K525" s="179"/>
      <c r="L525" s="179"/>
      <c r="M525" s="179"/>
      <c r="N525" s="179"/>
      <c r="O525" s="179"/>
      <c r="P525" s="179"/>
      <c r="Q525" s="179"/>
      <c r="R525" s="179"/>
      <c r="S525" s="180"/>
      <c r="T525" s="179"/>
      <c r="U525" s="166" t="s">
        <v>1294</v>
      </c>
      <c r="V525" s="165">
        <v>21396187.079999998</v>
      </c>
      <c r="W525" s="451">
        <v>0</v>
      </c>
      <c r="X525" s="279"/>
      <c r="Y525" s="163"/>
    </row>
    <row r="526" spans="1:25">
      <c r="A526" s="162"/>
      <c r="B526" s="179"/>
      <c r="C526" s="179"/>
      <c r="D526" s="179"/>
      <c r="E526" s="179"/>
      <c r="F526" s="179"/>
      <c r="G526" s="179"/>
      <c r="H526" s="179"/>
      <c r="I526" s="179"/>
      <c r="J526" s="179"/>
      <c r="K526" s="179"/>
      <c r="L526" s="179"/>
      <c r="M526" s="179"/>
      <c r="N526" s="179"/>
      <c r="O526" s="179"/>
      <c r="P526" s="179"/>
      <c r="Q526" s="179"/>
      <c r="R526" s="179"/>
      <c r="S526" s="180"/>
      <c r="T526" s="179"/>
      <c r="U526" s="166" t="s">
        <v>1347</v>
      </c>
      <c r="V526" s="165">
        <v>16995060.600000001</v>
      </c>
      <c r="W526" s="451">
        <v>0</v>
      </c>
      <c r="X526" s="279"/>
      <c r="Y526" s="163"/>
    </row>
    <row r="527" spans="1:25">
      <c r="A527" s="162"/>
      <c r="B527" s="179"/>
      <c r="C527" s="179"/>
      <c r="D527" s="179"/>
      <c r="E527" s="179"/>
      <c r="F527" s="179"/>
      <c r="G527" s="179"/>
      <c r="H527" s="179"/>
      <c r="I527" s="179"/>
      <c r="J527" s="179"/>
      <c r="K527" s="179"/>
      <c r="L527" s="179"/>
      <c r="M527" s="179"/>
      <c r="N527" s="179"/>
      <c r="O527" s="179"/>
      <c r="P527" s="179"/>
      <c r="Q527" s="179"/>
      <c r="R527" s="179"/>
      <c r="S527" s="180"/>
      <c r="T527" s="179"/>
      <c r="U527" s="166" t="s">
        <v>1348</v>
      </c>
      <c r="V527" s="165">
        <v>42463781.009999998</v>
      </c>
      <c r="W527" s="451">
        <v>0</v>
      </c>
      <c r="X527" s="279"/>
      <c r="Y527" s="163"/>
    </row>
    <row r="528" spans="1:25">
      <c r="A528" s="162"/>
      <c r="B528" s="179"/>
      <c r="C528" s="179"/>
      <c r="D528" s="179"/>
      <c r="E528" s="179"/>
      <c r="F528" s="179"/>
      <c r="G528" s="179"/>
      <c r="H528" s="179"/>
      <c r="I528" s="179"/>
      <c r="J528" s="179"/>
      <c r="K528" s="179"/>
      <c r="L528" s="179"/>
      <c r="M528" s="179"/>
      <c r="N528" s="179"/>
      <c r="O528" s="179"/>
      <c r="P528" s="179"/>
      <c r="Q528" s="179"/>
      <c r="R528" s="179"/>
      <c r="S528" s="180"/>
      <c r="T528" s="179"/>
      <c r="U528" s="166" t="s">
        <v>1349</v>
      </c>
      <c r="V528" s="165">
        <v>1966579.3</v>
      </c>
      <c r="W528" s="451">
        <v>0</v>
      </c>
      <c r="X528" s="279"/>
      <c r="Y528" s="163"/>
    </row>
    <row r="529" spans="1:25" ht="25.5">
      <c r="A529" s="162"/>
      <c r="B529" s="179"/>
      <c r="C529" s="179"/>
      <c r="D529" s="179"/>
      <c r="E529" s="179"/>
      <c r="F529" s="179"/>
      <c r="G529" s="179"/>
      <c r="H529" s="179"/>
      <c r="I529" s="179"/>
      <c r="J529" s="179"/>
      <c r="K529" s="179"/>
      <c r="L529" s="179"/>
      <c r="M529" s="179"/>
      <c r="N529" s="179"/>
      <c r="O529" s="179"/>
      <c r="P529" s="179"/>
      <c r="Q529" s="179"/>
      <c r="R529" s="179"/>
      <c r="S529" s="180"/>
      <c r="T529" s="179"/>
      <c r="U529" s="166" t="s">
        <v>1350</v>
      </c>
      <c r="V529" s="165">
        <v>150000000</v>
      </c>
      <c r="W529" s="451">
        <v>0</v>
      </c>
      <c r="X529" s="279"/>
      <c r="Y529" s="163"/>
    </row>
    <row r="530" spans="1:25">
      <c r="A530" s="162"/>
      <c r="B530" s="179"/>
      <c r="C530" s="179"/>
      <c r="D530" s="179"/>
      <c r="E530" s="179"/>
      <c r="F530" s="179"/>
      <c r="G530" s="179"/>
      <c r="H530" s="179"/>
      <c r="I530" s="179"/>
      <c r="J530" s="179"/>
      <c r="K530" s="179"/>
      <c r="L530" s="179"/>
      <c r="M530" s="179"/>
      <c r="N530" s="179"/>
      <c r="O530" s="179"/>
      <c r="P530" s="179"/>
      <c r="Q530" s="179"/>
      <c r="R530" s="179"/>
      <c r="S530" s="180"/>
      <c r="T530" s="179"/>
      <c r="U530" s="166" t="s">
        <v>1295</v>
      </c>
      <c r="V530" s="165">
        <v>39035600.390000001</v>
      </c>
      <c r="W530" s="451">
        <v>0</v>
      </c>
      <c r="X530" s="279"/>
      <c r="Y530" s="163"/>
    </row>
    <row r="531" spans="1:25">
      <c r="A531" s="162"/>
      <c r="B531" s="179"/>
      <c r="C531" s="179"/>
      <c r="D531" s="179"/>
      <c r="E531" s="179"/>
      <c r="F531" s="179"/>
      <c r="G531" s="179"/>
      <c r="H531" s="179"/>
      <c r="I531" s="179"/>
      <c r="J531" s="179"/>
      <c r="K531" s="179"/>
      <c r="L531" s="179"/>
      <c r="M531" s="179"/>
      <c r="N531" s="179"/>
      <c r="O531" s="179"/>
      <c r="P531" s="179"/>
      <c r="Q531" s="179"/>
      <c r="R531" s="179"/>
      <c r="S531" s="180"/>
      <c r="T531" s="179"/>
      <c r="U531" s="166" t="s">
        <v>1351</v>
      </c>
      <c r="V531" s="165">
        <v>23715339.32</v>
      </c>
      <c r="W531" s="451">
        <v>0</v>
      </c>
      <c r="X531" s="279"/>
      <c r="Y531" s="163"/>
    </row>
    <row r="532" spans="1:25">
      <c r="A532" s="162"/>
      <c r="B532" s="179"/>
      <c r="C532" s="179"/>
      <c r="D532" s="179"/>
      <c r="E532" s="179"/>
      <c r="F532" s="179"/>
      <c r="G532" s="179"/>
      <c r="H532" s="179"/>
      <c r="I532" s="179"/>
      <c r="J532" s="179"/>
      <c r="K532" s="179"/>
      <c r="L532" s="179"/>
      <c r="M532" s="179"/>
      <c r="N532" s="179"/>
      <c r="O532" s="179"/>
      <c r="P532" s="179"/>
      <c r="Q532" s="179"/>
      <c r="R532" s="179"/>
      <c r="S532" s="180"/>
      <c r="T532" s="179"/>
      <c r="U532" s="166" t="s">
        <v>1296</v>
      </c>
      <c r="V532" s="165">
        <v>42487717.5</v>
      </c>
      <c r="W532" s="451">
        <v>0</v>
      </c>
      <c r="X532" s="279"/>
      <c r="Y532" s="163"/>
    </row>
    <row r="533" spans="1:25">
      <c r="A533" s="162"/>
      <c r="B533" s="179"/>
      <c r="C533" s="179"/>
      <c r="D533" s="179"/>
      <c r="E533" s="179"/>
      <c r="F533" s="179"/>
      <c r="G533" s="179"/>
      <c r="H533" s="179"/>
      <c r="I533" s="179"/>
      <c r="J533" s="179"/>
      <c r="K533" s="179"/>
      <c r="L533" s="179"/>
      <c r="M533" s="179"/>
      <c r="N533" s="179"/>
      <c r="O533" s="179"/>
      <c r="P533" s="179"/>
      <c r="Q533" s="179"/>
      <c r="R533" s="179"/>
      <c r="S533" s="180"/>
      <c r="T533" s="179"/>
      <c r="U533" s="166" t="s">
        <v>1297</v>
      </c>
      <c r="V533" s="165">
        <v>24166879.129999999</v>
      </c>
      <c r="W533" s="451">
        <v>0</v>
      </c>
      <c r="X533" s="279"/>
      <c r="Y533" s="163"/>
    </row>
    <row r="534" spans="1:25">
      <c r="A534" s="162"/>
      <c r="B534" s="179"/>
      <c r="C534" s="179"/>
      <c r="D534" s="179"/>
      <c r="E534" s="179"/>
      <c r="F534" s="179"/>
      <c r="G534" s="179"/>
      <c r="H534" s="179"/>
      <c r="I534" s="179"/>
      <c r="J534" s="179"/>
      <c r="K534" s="179"/>
      <c r="L534" s="179"/>
      <c r="M534" s="179"/>
      <c r="N534" s="179"/>
      <c r="O534" s="179"/>
      <c r="P534" s="179"/>
      <c r="Q534" s="179"/>
      <c r="R534" s="179"/>
      <c r="S534" s="180"/>
      <c r="T534" s="179"/>
      <c r="U534" s="166" t="s">
        <v>1324</v>
      </c>
      <c r="V534" s="165">
        <v>50000000</v>
      </c>
      <c r="W534" s="451">
        <v>0</v>
      </c>
      <c r="X534" s="279"/>
      <c r="Y534" s="163"/>
    </row>
    <row r="535" spans="1:25" ht="25.5">
      <c r="A535" s="162"/>
      <c r="B535" s="179"/>
      <c r="C535" s="179"/>
      <c r="D535" s="179"/>
      <c r="E535" s="179"/>
      <c r="F535" s="179"/>
      <c r="G535" s="179"/>
      <c r="H535" s="179"/>
      <c r="I535" s="179"/>
      <c r="J535" s="179"/>
      <c r="K535" s="179"/>
      <c r="L535" s="179"/>
      <c r="M535" s="179"/>
      <c r="N535" s="179"/>
      <c r="O535" s="179"/>
      <c r="P535" s="179"/>
      <c r="Q535" s="179"/>
      <c r="R535" s="179"/>
      <c r="S535" s="180"/>
      <c r="T535" s="179"/>
      <c r="U535" s="166" t="s">
        <v>1352</v>
      </c>
      <c r="V535" s="165">
        <v>214284286.53999999</v>
      </c>
      <c r="W535" s="451">
        <v>0</v>
      </c>
      <c r="X535" s="279"/>
      <c r="Y535" s="163"/>
    </row>
    <row r="536" spans="1:25" ht="38.25">
      <c r="A536" s="162"/>
      <c r="B536" s="179"/>
      <c r="C536" s="179"/>
      <c r="D536" s="179"/>
      <c r="E536" s="179"/>
      <c r="F536" s="179"/>
      <c r="G536" s="179"/>
      <c r="H536" s="179"/>
      <c r="I536" s="179"/>
      <c r="J536" s="179"/>
      <c r="K536" s="179"/>
      <c r="L536" s="179"/>
      <c r="M536" s="179"/>
      <c r="N536" s="179"/>
      <c r="O536" s="179"/>
      <c r="P536" s="179"/>
      <c r="Q536" s="179"/>
      <c r="R536" s="179"/>
      <c r="S536" s="180"/>
      <c r="T536" s="179"/>
      <c r="U536" s="166" t="s">
        <v>1353</v>
      </c>
      <c r="V536" s="165">
        <v>7045026.7800000003</v>
      </c>
      <c r="W536" s="451">
        <v>0</v>
      </c>
      <c r="X536" s="279"/>
      <c r="Y536" s="163"/>
    </row>
    <row r="537" spans="1:25" ht="25.5">
      <c r="A537" s="162"/>
      <c r="B537" s="179"/>
      <c r="C537" s="179"/>
      <c r="D537" s="179"/>
      <c r="E537" s="179"/>
      <c r="F537" s="179"/>
      <c r="G537" s="179"/>
      <c r="H537" s="179"/>
      <c r="I537" s="179"/>
      <c r="J537" s="179"/>
      <c r="K537" s="179"/>
      <c r="L537" s="179"/>
      <c r="M537" s="179"/>
      <c r="N537" s="179"/>
      <c r="O537" s="179"/>
      <c r="P537" s="179"/>
      <c r="Q537" s="179"/>
      <c r="R537" s="179"/>
      <c r="S537" s="180"/>
      <c r="T537" s="179"/>
      <c r="U537" s="166" t="s">
        <v>1354</v>
      </c>
      <c r="V537" s="165">
        <v>4261087.5</v>
      </c>
      <c r="W537" s="451">
        <v>0</v>
      </c>
      <c r="X537" s="279"/>
      <c r="Y537" s="163"/>
    </row>
    <row r="538" spans="1:25" ht="25.5">
      <c r="A538" s="162"/>
      <c r="B538" s="179"/>
      <c r="C538" s="179"/>
      <c r="D538" s="179"/>
      <c r="E538" s="179"/>
      <c r="F538" s="179"/>
      <c r="G538" s="179"/>
      <c r="H538" s="179"/>
      <c r="I538" s="179"/>
      <c r="J538" s="179"/>
      <c r="K538" s="179"/>
      <c r="L538" s="179"/>
      <c r="M538" s="179"/>
      <c r="N538" s="179"/>
      <c r="O538" s="179"/>
      <c r="P538" s="179"/>
      <c r="Q538" s="179"/>
      <c r="R538" s="179"/>
      <c r="S538" s="180"/>
      <c r="T538" s="179"/>
      <c r="U538" s="166" t="s">
        <v>1355</v>
      </c>
      <c r="V538" s="165">
        <v>2063313.64</v>
      </c>
      <c r="W538" s="451">
        <v>0</v>
      </c>
      <c r="X538" s="279"/>
      <c r="Y538" s="163"/>
    </row>
    <row r="539" spans="1:25" ht="25.5">
      <c r="A539" s="162"/>
      <c r="B539" s="179"/>
      <c r="C539" s="179"/>
      <c r="D539" s="179"/>
      <c r="E539" s="179"/>
      <c r="F539" s="179"/>
      <c r="G539" s="179"/>
      <c r="H539" s="179"/>
      <c r="I539" s="179"/>
      <c r="J539" s="179"/>
      <c r="K539" s="179"/>
      <c r="L539" s="179"/>
      <c r="M539" s="179"/>
      <c r="N539" s="179"/>
      <c r="O539" s="179"/>
      <c r="P539" s="179"/>
      <c r="Q539" s="179"/>
      <c r="R539" s="179"/>
      <c r="S539" s="180"/>
      <c r="T539" s="179"/>
      <c r="U539" s="170" t="s">
        <v>1356</v>
      </c>
      <c r="V539" s="165">
        <v>1216616.28</v>
      </c>
      <c r="W539" s="451">
        <v>0</v>
      </c>
      <c r="X539" s="279"/>
      <c r="Y539" s="163"/>
    </row>
    <row r="540" spans="1:25">
      <c r="A540" s="162"/>
      <c r="B540" s="179"/>
      <c r="C540" s="179"/>
      <c r="D540" s="179"/>
      <c r="E540" s="179"/>
      <c r="F540" s="179"/>
      <c r="G540" s="179"/>
      <c r="H540" s="179"/>
      <c r="I540" s="179"/>
      <c r="J540" s="179"/>
      <c r="K540" s="179"/>
      <c r="L540" s="179"/>
      <c r="M540" s="179"/>
      <c r="N540" s="179"/>
      <c r="O540" s="179"/>
      <c r="P540" s="179"/>
      <c r="Q540" s="179"/>
      <c r="R540" s="179"/>
      <c r="S540" s="180"/>
      <c r="T540" s="179"/>
      <c r="U540" s="166" t="s">
        <v>1298</v>
      </c>
      <c r="V540" s="165">
        <v>14121593.26</v>
      </c>
      <c r="W540" s="451">
        <v>0</v>
      </c>
      <c r="X540" s="279"/>
      <c r="Y540" s="163"/>
    </row>
    <row r="541" spans="1:25">
      <c r="A541" s="162"/>
      <c r="B541" s="179"/>
      <c r="C541" s="179"/>
      <c r="D541" s="179"/>
      <c r="E541" s="179"/>
      <c r="F541" s="179"/>
      <c r="G541" s="179"/>
      <c r="H541" s="179"/>
      <c r="I541" s="179"/>
      <c r="J541" s="179"/>
      <c r="K541" s="179"/>
      <c r="L541" s="179"/>
      <c r="M541" s="179"/>
      <c r="N541" s="179"/>
      <c r="O541" s="179"/>
      <c r="P541" s="179"/>
      <c r="Q541" s="179"/>
      <c r="R541" s="179"/>
      <c r="S541" s="180"/>
      <c r="T541" s="179"/>
      <c r="U541" s="166" t="s">
        <v>1357</v>
      </c>
      <c r="V541" s="165">
        <v>2293102.5</v>
      </c>
      <c r="W541" s="451">
        <v>0</v>
      </c>
      <c r="X541" s="279"/>
      <c r="Y541" s="163"/>
    </row>
    <row r="542" spans="1:25">
      <c r="A542" s="162"/>
      <c r="B542" s="179"/>
      <c r="C542" s="179"/>
      <c r="D542" s="179"/>
      <c r="E542" s="179"/>
      <c r="F542" s="179"/>
      <c r="G542" s="179"/>
      <c r="H542" s="179"/>
      <c r="I542" s="179"/>
      <c r="J542" s="179"/>
      <c r="K542" s="179"/>
      <c r="L542" s="179"/>
      <c r="M542" s="179"/>
      <c r="N542" s="179"/>
      <c r="O542" s="179"/>
      <c r="P542" s="179"/>
      <c r="Q542" s="179"/>
      <c r="R542" s="179"/>
      <c r="S542" s="180"/>
      <c r="T542" s="179"/>
      <c r="U542" s="166" t="s">
        <v>1358</v>
      </c>
      <c r="V542" s="165">
        <v>327073.21999999997</v>
      </c>
      <c r="W542" s="451">
        <v>0</v>
      </c>
      <c r="X542" s="279"/>
      <c r="Y542" s="163"/>
    </row>
    <row r="543" spans="1:25">
      <c r="A543" s="162"/>
      <c r="B543" s="179"/>
      <c r="C543" s="179"/>
      <c r="D543" s="179"/>
      <c r="E543" s="179"/>
      <c r="F543" s="179"/>
      <c r="G543" s="179"/>
      <c r="H543" s="179"/>
      <c r="I543" s="179"/>
      <c r="J543" s="179"/>
      <c r="K543" s="179"/>
      <c r="L543" s="179"/>
      <c r="M543" s="179"/>
      <c r="N543" s="179"/>
      <c r="O543" s="179"/>
      <c r="P543" s="179"/>
      <c r="Q543" s="179"/>
      <c r="R543" s="179"/>
      <c r="S543" s="180"/>
      <c r="T543" s="179"/>
      <c r="U543" s="166" t="s">
        <v>1359</v>
      </c>
      <c r="V543" s="165">
        <v>5630990.4400000004</v>
      </c>
      <c r="W543" s="451">
        <v>0</v>
      </c>
      <c r="X543" s="279"/>
      <c r="Y543" s="163"/>
    </row>
    <row r="544" spans="1:25">
      <c r="A544" s="162"/>
      <c r="B544" s="179"/>
      <c r="C544" s="179"/>
      <c r="D544" s="179"/>
      <c r="E544" s="179"/>
      <c r="F544" s="179"/>
      <c r="G544" s="179"/>
      <c r="H544" s="179"/>
      <c r="I544" s="179"/>
      <c r="J544" s="179"/>
      <c r="K544" s="179"/>
      <c r="L544" s="179"/>
      <c r="M544" s="179"/>
      <c r="N544" s="179"/>
      <c r="O544" s="179"/>
      <c r="P544" s="179"/>
      <c r="Q544" s="179"/>
      <c r="R544" s="179"/>
      <c r="S544" s="180"/>
      <c r="T544" s="179"/>
      <c r="U544" s="166" t="s">
        <v>1360</v>
      </c>
      <c r="V544" s="165">
        <v>24980595.16</v>
      </c>
      <c r="W544" s="451">
        <v>0</v>
      </c>
      <c r="X544" s="279"/>
      <c r="Y544" s="163"/>
    </row>
    <row r="545" spans="1:25" ht="25.5">
      <c r="A545" s="162"/>
      <c r="B545" s="179"/>
      <c r="C545" s="179"/>
      <c r="D545" s="179"/>
      <c r="E545" s="179"/>
      <c r="F545" s="179"/>
      <c r="G545" s="179"/>
      <c r="H545" s="179"/>
      <c r="I545" s="179"/>
      <c r="J545" s="179"/>
      <c r="K545" s="179"/>
      <c r="L545" s="179"/>
      <c r="M545" s="179"/>
      <c r="N545" s="179"/>
      <c r="O545" s="179"/>
      <c r="P545" s="179"/>
      <c r="Q545" s="179"/>
      <c r="R545" s="179"/>
      <c r="S545" s="180"/>
      <c r="T545" s="179"/>
      <c r="U545" s="166" t="s">
        <v>1361</v>
      </c>
      <c r="V545" s="165">
        <v>1427644.61</v>
      </c>
      <c r="W545" s="451">
        <v>0</v>
      </c>
      <c r="X545" s="279"/>
      <c r="Y545" s="163"/>
    </row>
    <row r="546" spans="1:25" ht="25.5">
      <c r="A546" s="162"/>
      <c r="B546" s="179"/>
      <c r="C546" s="179"/>
      <c r="D546" s="179"/>
      <c r="E546" s="179"/>
      <c r="F546" s="179"/>
      <c r="G546" s="179"/>
      <c r="H546" s="179"/>
      <c r="I546" s="179"/>
      <c r="J546" s="179"/>
      <c r="K546" s="179"/>
      <c r="L546" s="179"/>
      <c r="M546" s="179"/>
      <c r="N546" s="179"/>
      <c r="O546" s="179"/>
      <c r="P546" s="179"/>
      <c r="Q546" s="179"/>
      <c r="R546" s="179"/>
      <c r="S546" s="180"/>
      <c r="T546" s="179"/>
      <c r="U546" s="166" t="s">
        <v>1299</v>
      </c>
      <c r="V546" s="165">
        <v>8180519.5700000003</v>
      </c>
      <c r="W546" s="451">
        <v>0</v>
      </c>
      <c r="X546" s="279"/>
      <c r="Y546" s="163"/>
    </row>
    <row r="547" spans="1:25" ht="25.5">
      <c r="A547" s="162"/>
      <c r="B547" s="179"/>
      <c r="C547" s="179"/>
      <c r="D547" s="179"/>
      <c r="E547" s="179"/>
      <c r="F547" s="179"/>
      <c r="G547" s="179"/>
      <c r="H547" s="179"/>
      <c r="I547" s="179"/>
      <c r="J547" s="179"/>
      <c r="K547" s="179"/>
      <c r="L547" s="179"/>
      <c r="M547" s="179"/>
      <c r="N547" s="179"/>
      <c r="O547" s="179"/>
      <c r="P547" s="179"/>
      <c r="Q547" s="179"/>
      <c r="R547" s="179"/>
      <c r="S547" s="180"/>
      <c r="T547" s="179"/>
      <c r="U547" s="166" t="s">
        <v>2392</v>
      </c>
      <c r="V547" s="165">
        <v>977215.94</v>
      </c>
      <c r="W547" s="451">
        <v>0</v>
      </c>
      <c r="X547" s="279"/>
      <c r="Y547" s="163"/>
    </row>
    <row r="548" spans="1:25" ht="25.5">
      <c r="A548" s="162"/>
      <c r="B548" s="179"/>
      <c r="C548" s="179"/>
      <c r="D548" s="179"/>
      <c r="E548" s="179"/>
      <c r="F548" s="179"/>
      <c r="G548" s="179"/>
      <c r="H548" s="179"/>
      <c r="I548" s="179"/>
      <c r="J548" s="179"/>
      <c r="K548" s="179"/>
      <c r="L548" s="179"/>
      <c r="M548" s="179"/>
      <c r="N548" s="179"/>
      <c r="O548" s="179"/>
      <c r="P548" s="179"/>
      <c r="Q548" s="179"/>
      <c r="R548" s="179"/>
      <c r="S548" s="180"/>
      <c r="T548" s="179"/>
      <c r="U548" s="166" t="s">
        <v>1362</v>
      </c>
      <c r="V548" s="165">
        <v>8735467.4800000004</v>
      </c>
      <c r="W548" s="451">
        <v>0</v>
      </c>
      <c r="X548" s="279"/>
      <c r="Y548" s="163"/>
    </row>
    <row r="549" spans="1:25" ht="25.5">
      <c r="A549" s="162"/>
      <c r="B549" s="179"/>
      <c r="C549" s="179"/>
      <c r="D549" s="179"/>
      <c r="E549" s="179"/>
      <c r="F549" s="179"/>
      <c r="G549" s="179"/>
      <c r="H549" s="179"/>
      <c r="I549" s="179"/>
      <c r="J549" s="179"/>
      <c r="K549" s="179"/>
      <c r="L549" s="179"/>
      <c r="M549" s="179"/>
      <c r="N549" s="179"/>
      <c r="O549" s="179"/>
      <c r="P549" s="179"/>
      <c r="Q549" s="179"/>
      <c r="R549" s="179"/>
      <c r="S549" s="180"/>
      <c r="T549" s="179"/>
      <c r="U549" s="166" t="s">
        <v>1363</v>
      </c>
      <c r="V549" s="165">
        <v>24441763.18</v>
      </c>
      <c r="W549" s="451">
        <v>0</v>
      </c>
      <c r="X549" s="279"/>
      <c r="Y549" s="163"/>
    </row>
    <row r="550" spans="1:25">
      <c r="A550" s="162"/>
      <c r="B550" s="179"/>
      <c r="C550" s="179"/>
      <c r="D550" s="179"/>
      <c r="E550" s="179"/>
      <c r="F550" s="179"/>
      <c r="G550" s="179"/>
      <c r="H550" s="179"/>
      <c r="I550" s="179"/>
      <c r="J550" s="179"/>
      <c r="K550" s="179"/>
      <c r="L550" s="179"/>
      <c r="M550" s="179"/>
      <c r="N550" s="179"/>
      <c r="O550" s="179"/>
      <c r="P550" s="179"/>
      <c r="Q550" s="179"/>
      <c r="R550" s="179"/>
      <c r="S550" s="180"/>
      <c r="T550" s="179"/>
      <c r="U550" s="166" t="s">
        <v>1364</v>
      </c>
      <c r="V550" s="165">
        <v>23516352.02</v>
      </c>
      <c r="W550" s="451">
        <v>0</v>
      </c>
      <c r="X550" s="279"/>
      <c r="Y550" s="163"/>
    </row>
    <row r="551" spans="1:25">
      <c r="A551" s="162"/>
      <c r="B551" s="179"/>
      <c r="C551" s="179"/>
      <c r="D551" s="179"/>
      <c r="E551" s="179"/>
      <c r="F551" s="179"/>
      <c r="G551" s="179"/>
      <c r="H551" s="179"/>
      <c r="I551" s="179"/>
      <c r="J551" s="179"/>
      <c r="K551" s="179"/>
      <c r="L551" s="179"/>
      <c r="M551" s="179"/>
      <c r="N551" s="179"/>
      <c r="O551" s="179"/>
      <c r="P551" s="179"/>
      <c r="Q551" s="179"/>
      <c r="R551" s="179"/>
      <c r="S551" s="180"/>
      <c r="T551" s="179"/>
      <c r="U551" s="166" t="s">
        <v>1365</v>
      </c>
      <c r="V551" s="165">
        <v>891965.02</v>
      </c>
      <c r="W551" s="451">
        <v>0</v>
      </c>
      <c r="X551" s="279"/>
      <c r="Y551" s="163"/>
    </row>
    <row r="552" spans="1:25">
      <c r="A552" s="162"/>
      <c r="B552" s="179"/>
      <c r="C552" s="179"/>
      <c r="D552" s="179"/>
      <c r="E552" s="179"/>
      <c r="F552" s="179"/>
      <c r="G552" s="179"/>
      <c r="H552" s="179"/>
      <c r="I552" s="179"/>
      <c r="J552" s="179"/>
      <c r="K552" s="179"/>
      <c r="L552" s="179"/>
      <c r="M552" s="179"/>
      <c r="N552" s="179"/>
      <c r="O552" s="179"/>
      <c r="P552" s="179"/>
      <c r="Q552" s="179"/>
      <c r="R552" s="179"/>
      <c r="S552" s="180"/>
      <c r="T552" s="179"/>
      <c r="U552" s="166" t="s">
        <v>1366</v>
      </c>
      <c r="V552" s="165">
        <v>888457.5</v>
      </c>
      <c r="W552" s="451">
        <v>0</v>
      </c>
      <c r="X552" s="279"/>
      <c r="Y552" s="163"/>
    </row>
    <row r="553" spans="1:25">
      <c r="A553" s="162"/>
      <c r="B553" s="179"/>
      <c r="C553" s="179"/>
      <c r="D553" s="179"/>
      <c r="E553" s="179"/>
      <c r="F553" s="179"/>
      <c r="G553" s="179"/>
      <c r="H553" s="179"/>
      <c r="I553" s="179"/>
      <c r="J553" s="179"/>
      <c r="K553" s="179"/>
      <c r="L553" s="179"/>
      <c r="M553" s="179"/>
      <c r="N553" s="179"/>
      <c r="O553" s="179"/>
      <c r="P553" s="179"/>
      <c r="Q553" s="179"/>
      <c r="R553" s="179"/>
      <c r="S553" s="180"/>
      <c r="T553" s="179"/>
      <c r="U553" s="166" t="s">
        <v>1301</v>
      </c>
      <c r="V553" s="165">
        <v>14753600.35</v>
      </c>
      <c r="W553" s="451">
        <v>0</v>
      </c>
      <c r="X553" s="279"/>
      <c r="Y553" s="163"/>
    </row>
    <row r="554" spans="1:25">
      <c r="A554" s="162"/>
      <c r="B554" s="179"/>
      <c r="C554" s="179"/>
      <c r="D554" s="179"/>
      <c r="E554" s="179"/>
      <c r="F554" s="179"/>
      <c r="G554" s="179"/>
      <c r="H554" s="179"/>
      <c r="I554" s="179"/>
      <c r="J554" s="179"/>
      <c r="K554" s="179"/>
      <c r="L554" s="179"/>
      <c r="M554" s="179"/>
      <c r="N554" s="179"/>
      <c r="O554" s="179"/>
      <c r="P554" s="179"/>
      <c r="Q554" s="179"/>
      <c r="R554" s="179"/>
      <c r="S554" s="180"/>
      <c r="T554" s="179"/>
      <c r="U554" s="166" t="s">
        <v>1367</v>
      </c>
      <c r="V554" s="165">
        <v>20428775</v>
      </c>
      <c r="W554" s="451">
        <v>0</v>
      </c>
      <c r="X554" s="279"/>
      <c r="Y554" s="163"/>
    </row>
    <row r="555" spans="1:25" ht="25.5">
      <c r="A555" s="162"/>
      <c r="B555" s="179"/>
      <c r="C555" s="179"/>
      <c r="D555" s="179"/>
      <c r="E555" s="179"/>
      <c r="F555" s="179"/>
      <c r="G555" s="179"/>
      <c r="H555" s="179"/>
      <c r="I555" s="179"/>
      <c r="J555" s="179"/>
      <c r="K555" s="179"/>
      <c r="L555" s="179"/>
      <c r="M555" s="179"/>
      <c r="N555" s="179"/>
      <c r="O555" s="179"/>
      <c r="P555" s="179"/>
      <c r="Q555" s="179"/>
      <c r="R555" s="179"/>
      <c r="S555" s="180"/>
      <c r="T555" s="179"/>
      <c r="U555" s="166" t="s">
        <v>1368</v>
      </c>
      <c r="V555" s="165">
        <v>36039239.18</v>
      </c>
      <c r="W555" s="451">
        <v>0</v>
      </c>
      <c r="X555" s="279"/>
      <c r="Y555" s="163"/>
    </row>
    <row r="556" spans="1:25" ht="25.5">
      <c r="A556" s="162"/>
      <c r="B556" s="179"/>
      <c r="C556" s="179"/>
      <c r="D556" s="179"/>
      <c r="E556" s="179"/>
      <c r="F556" s="179"/>
      <c r="G556" s="179"/>
      <c r="H556" s="179"/>
      <c r="I556" s="179"/>
      <c r="J556" s="179"/>
      <c r="K556" s="179"/>
      <c r="L556" s="179"/>
      <c r="M556" s="179"/>
      <c r="N556" s="179"/>
      <c r="O556" s="179"/>
      <c r="P556" s="179"/>
      <c r="Q556" s="179"/>
      <c r="R556" s="179"/>
      <c r="S556" s="180"/>
      <c r="T556" s="179"/>
      <c r="U556" s="166" t="s">
        <v>1368</v>
      </c>
      <c r="V556" s="165">
        <v>12540585.890000001</v>
      </c>
      <c r="W556" s="451">
        <v>0</v>
      </c>
      <c r="X556" s="279"/>
      <c r="Y556" s="163"/>
    </row>
    <row r="557" spans="1:25" ht="25.5">
      <c r="A557" s="162"/>
      <c r="B557" s="179"/>
      <c r="C557" s="179"/>
      <c r="D557" s="179"/>
      <c r="E557" s="179"/>
      <c r="F557" s="179"/>
      <c r="G557" s="179"/>
      <c r="H557" s="179"/>
      <c r="I557" s="179"/>
      <c r="J557" s="179"/>
      <c r="K557" s="179"/>
      <c r="L557" s="179"/>
      <c r="M557" s="179"/>
      <c r="N557" s="179"/>
      <c r="O557" s="179"/>
      <c r="P557" s="179"/>
      <c r="Q557" s="179"/>
      <c r="R557" s="179"/>
      <c r="S557" s="180"/>
      <c r="T557" s="179"/>
      <c r="U557" s="166" t="s">
        <v>1369</v>
      </c>
      <c r="V557" s="165">
        <v>25311101.100000001</v>
      </c>
      <c r="W557" s="451">
        <v>0</v>
      </c>
      <c r="X557" s="279"/>
      <c r="Y557" s="163"/>
    </row>
    <row r="558" spans="1:25">
      <c r="A558" s="162"/>
      <c r="B558" s="179"/>
      <c r="C558" s="179"/>
      <c r="D558" s="179"/>
      <c r="E558" s="179"/>
      <c r="F558" s="179"/>
      <c r="G558" s="179"/>
      <c r="H558" s="179"/>
      <c r="I558" s="179"/>
      <c r="J558" s="179"/>
      <c r="K558" s="179"/>
      <c r="L558" s="179"/>
      <c r="M558" s="179"/>
      <c r="N558" s="179"/>
      <c r="O558" s="179"/>
      <c r="P558" s="179"/>
      <c r="Q558" s="179"/>
      <c r="R558" s="179"/>
      <c r="S558" s="180"/>
      <c r="T558" s="179"/>
      <c r="U558" s="166" t="s">
        <v>1370</v>
      </c>
      <c r="V558" s="165">
        <v>29373868.75</v>
      </c>
      <c r="W558" s="451">
        <v>0</v>
      </c>
      <c r="X558" s="279"/>
      <c r="Y558" s="163"/>
    </row>
    <row r="559" spans="1:25">
      <c r="A559" s="162"/>
      <c r="B559" s="179"/>
      <c r="C559" s="179"/>
      <c r="D559" s="179"/>
      <c r="E559" s="179"/>
      <c r="F559" s="179"/>
      <c r="G559" s="179"/>
      <c r="H559" s="179"/>
      <c r="I559" s="179"/>
      <c r="J559" s="179"/>
      <c r="K559" s="179"/>
      <c r="L559" s="179"/>
      <c r="M559" s="179"/>
      <c r="N559" s="179"/>
      <c r="O559" s="179"/>
      <c r="P559" s="179"/>
      <c r="Q559" s="179"/>
      <c r="R559" s="179"/>
      <c r="S559" s="180"/>
      <c r="T559" s="179"/>
      <c r="U559" s="166" t="s">
        <v>1371</v>
      </c>
      <c r="V559" s="165">
        <v>4441500</v>
      </c>
      <c r="W559" s="451">
        <v>0</v>
      </c>
      <c r="X559" s="279"/>
      <c r="Y559" s="163"/>
    </row>
    <row r="560" spans="1:25" ht="25.5">
      <c r="A560" s="162"/>
      <c r="B560" s="179"/>
      <c r="C560" s="179"/>
      <c r="D560" s="179"/>
      <c r="E560" s="179"/>
      <c r="F560" s="179"/>
      <c r="G560" s="179"/>
      <c r="H560" s="179"/>
      <c r="I560" s="179"/>
      <c r="J560" s="179"/>
      <c r="K560" s="179"/>
      <c r="L560" s="179"/>
      <c r="M560" s="179"/>
      <c r="N560" s="179"/>
      <c r="O560" s="179"/>
      <c r="P560" s="179"/>
      <c r="Q560" s="179"/>
      <c r="R560" s="179"/>
      <c r="S560" s="180"/>
      <c r="T560" s="179"/>
      <c r="U560" s="166" t="s">
        <v>1372</v>
      </c>
      <c r="V560" s="165">
        <v>13643039.25</v>
      </c>
      <c r="W560" s="451">
        <v>0</v>
      </c>
      <c r="X560" s="279"/>
      <c r="Y560" s="163"/>
    </row>
    <row r="561" spans="1:25" ht="25.5">
      <c r="A561" s="162"/>
      <c r="B561" s="179"/>
      <c r="C561" s="179"/>
      <c r="D561" s="179"/>
      <c r="E561" s="179"/>
      <c r="F561" s="179"/>
      <c r="G561" s="179"/>
      <c r="H561" s="179"/>
      <c r="I561" s="179"/>
      <c r="J561" s="179"/>
      <c r="K561" s="179"/>
      <c r="L561" s="179"/>
      <c r="M561" s="179"/>
      <c r="N561" s="179"/>
      <c r="O561" s="179"/>
      <c r="P561" s="179"/>
      <c r="Q561" s="179"/>
      <c r="R561" s="179"/>
      <c r="S561" s="180"/>
      <c r="T561" s="179"/>
      <c r="U561" s="166" t="s">
        <v>1373</v>
      </c>
      <c r="V561" s="165">
        <v>4596224.8499999996</v>
      </c>
      <c r="W561" s="451">
        <v>0</v>
      </c>
      <c r="X561" s="279"/>
      <c r="Y561" s="163"/>
    </row>
    <row r="562" spans="1:25">
      <c r="A562" s="162"/>
      <c r="B562" s="179"/>
      <c r="C562" s="179"/>
      <c r="D562" s="179"/>
      <c r="E562" s="179"/>
      <c r="F562" s="179"/>
      <c r="G562" s="179"/>
      <c r="H562" s="179"/>
      <c r="I562" s="179"/>
      <c r="J562" s="179"/>
      <c r="K562" s="179"/>
      <c r="L562" s="179"/>
      <c r="M562" s="179"/>
      <c r="N562" s="179"/>
      <c r="O562" s="179"/>
      <c r="P562" s="179"/>
      <c r="Q562" s="179"/>
      <c r="R562" s="179"/>
      <c r="S562" s="180"/>
      <c r="T562" s="179"/>
      <c r="U562" s="166" t="s">
        <v>1374</v>
      </c>
      <c r="V562" s="165">
        <v>3834209.81</v>
      </c>
      <c r="W562" s="451">
        <v>0</v>
      </c>
      <c r="X562" s="279"/>
      <c r="Y562" s="163"/>
    </row>
    <row r="563" spans="1:25">
      <c r="A563" s="162"/>
      <c r="B563" s="179"/>
      <c r="C563" s="179"/>
      <c r="D563" s="179"/>
      <c r="E563" s="179"/>
      <c r="F563" s="179"/>
      <c r="G563" s="179"/>
      <c r="H563" s="179"/>
      <c r="I563" s="179"/>
      <c r="J563" s="179"/>
      <c r="K563" s="179"/>
      <c r="L563" s="179"/>
      <c r="M563" s="179"/>
      <c r="N563" s="179"/>
      <c r="O563" s="179"/>
      <c r="P563" s="179"/>
      <c r="Q563" s="179"/>
      <c r="R563" s="179"/>
      <c r="S563" s="180"/>
      <c r="T563" s="179"/>
      <c r="U563" s="166" t="s">
        <v>1375</v>
      </c>
      <c r="V563" s="165">
        <v>21472188.940000001</v>
      </c>
      <c r="W563" s="451">
        <v>0</v>
      </c>
      <c r="X563" s="279"/>
      <c r="Y563" s="163"/>
    </row>
    <row r="564" spans="1:25" ht="25.5">
      <c r="A564" s="162"/>
      <c r="B564" s="179"/>
      <c r="C564" s="179"/>
      <c r="D564" s="179"/>
      <c r="E564" s="179"/>
      <c r="F564" s="179"/>
      <c r="G564" s="179"/>
      <c r="H564" s="179"/>
      <c r="I564" s="179"/>
      <c r="J564" s="179"/>
      <c r="K564" s="179"/>
      <c r="L564" s="179"/>
      <c r="M564" s="179"/>
      <c r="N564" s="179"/>
      <c r="O564" s="179"/>
      <c r="P564" s="179"/>
      <c r="Q564" s="179"/>
      <c r="R564" s="179"/>
      <c r="S564" s="180"/>
      <c r="T564" s="179"/>
      <c r="U564" s="166" t="s">
        <v>1304</v>
      </c>
      <c r="V564" s="165">
        <v>18395334.300000001</v>
      </c>
      <c r="W564" s="451">
        <v>0</v>
      </c>
      <c r="X564" s="279"/>
      <c r="Y564" s="163"/>
    </row>
    <row r="565" spans="1:25">
      <c r="A565" s="162"/>
      <c r="B565" s="179"/>
      <c r="C565" s="179"/>
      <c r="D565" s="179"/>
      <c r="E565" s="179"/>
      <c r="F565" s="179"/>
      <c r="G565" s="179"/>
      <c r="H565" s="179"/>
      <c r="I565" s="179"/>
      <c r="J565" s="179"/>
      <c r="K565" s="179"/>
      <c r="L565" s="179"/>
      <c r="M565" s="179"/>
      <c r="N565" s="179"/>
      <c r="O565" s="179"/>
      <c r="P565" s="179"/>
      <c r="Q565" s="179"/>
      <c r="R565" s="179"/>
      <c r="S565" s="180"/>
      <c r="T565" s="179"/>
      <c r="U565" s="166" t="s">
        <v>1305</v>
      </c>
      <c r="V565" s="165">
        <v>10944615.24</v>
      </c>
      <c r="W565" s="451">
        <v>0</v>
      </c>
      <c r="X565" s="279"/>
      <c r="Y565" s="163"/>
    </row>
    <row r="566" spans="1:25" ht="25.5">
      <c r="A566" s="162"/>
      <c r="B566" s="179"/>
      <c r="C566" s="179"/>
      <c r="D566" s="179"/>
      <c r="E566" s="179"/>
      <c r="F566" s="179"/>
      <c r="G566" s="179"/>
      <c r="H566" s="179"/>
      <c r="I566" s="179"/>
      <c r="J566" s="179"/>
      <c r="K566" s="179"/>
      <c r="L566" s="179"/>
      <c r="M566" s="179"/>
      <c r="N566" s="179"/>
      <c r="O566" s="179"/>
      <c r="P566" s="179"/>
      <c r="Q566" s="179"/>
      <c r="R566" s="179"/>
      <c r="S566" s="180"/>
      <c r="T566" s="179"/>
      <c r="U566" s="166" t="s">
        <v>1376</v>
      </c>
      <c r="V566" s="165">
        <v>1366176</v>
      </c>
      <c r="W566" s="451">
        <v>0</v>
      </c>
      <c r="X566" s="279"/>
      <c r="Y566" s="163"/>
    </row>
    <row r="567" spans="1:25" ht="25.5">
      <c r="A567" s="162"/>
      <c r="B567" s="179"/>
      <c r="C567" s="179"/>
      <c r="D567" s="179"/>
      <c r="E567" s="179"/>
      <c r="F567" s="179"/>
      <c r="G567" s="179"/>
      <c r="H567" s="179"/>
      <c r="I567" s="179"/>
      <c r="J567" s="179"/>
      <c r="K567" s="179"/>
      <c r="L567" s="179"/>
      <c r="M567" s="179"/>
      <c r="N567" s="179"/>
      <c r="O567" s="179"/>
      <c r="P567" s="179"/>
      <c r="Q567" s="179"/>
      <c r="R567" s="179"/>
      <c r="S567" s="180"/>
      <c r="T567" s="179"/>
      <c r="U567" s="166" t="s">
        <v>1377</v>
      </c>
      <c r="V567" s="165">
        <v>74931004.319999993</v>
      </c>
      <c r="W567" s="451">
        <v>0</v>
      </c>
      <c r="X567" s="279"/>
      <c r="Y567" s="163"/>
    </row>
    <row r="568" spans="1:25" ht="38.25">
      <c r="A568" s="162"/>
      <c r="B568" s="179"/>
      <c r="C568" s="179"/>
      <c r="D568" s="179"/>
      <c r="E568" s="179"/>
      <c r="F568" s="179"/>
      <c r="G568" s="179"/>
      <c r="H568" s="179"/>
      <c r="I568" s="179"/>
      <c r="J568" s="179"/>
      <c r="K568" s="179"/>
      <c r="L568" s="179"/>
      <c r="M568" s="179"/>
      <c r="N568" s="179"/>
      <c r="O568" s="179"/>
      <c r="P568" s="179"/>
      <c r="Q568" s="179"/>
      <c r="R568" s="179"/>
      <c r="S568" s="180"/>
      <c r="T568" s="179"/>
      <c r="U568" s="166" t="s">
        <v>1378</v>
      </c>
      <c r="V568" s="165">
        <v>40164568.18</v>
      </c>
      <c r="W568" s="451">
        <v>0</v>
      </c>
      <c r="X568" s="279"/>
      <c r="Y568" s="163"/>
    </row>
    <row r="569" spans="1:25" ht="25.5">
      <c r="A569" s="162"/>
      <c r="B569" s="179"/>
      <c r="C569" s="179"/>
      <c r="D569" s="179"/>
      <c r="E569" s="179"/>
      <c r="F569" s="179"/>
      <c r="G569" s="179"/>
      <c r="H569" s="179"/>
      <c r="I569" s="179"/>
      <c r="J569" s="179"/>
      <c r="K569" s="179"/>
      <c r="L569" s="179"/>
      <c r="M569" s="179"/>
      <c r="N569" s="179"/>
      <c r="O569" s="179"/>
      <c r="P569" s="179"/>
      <c r="Q569" s="179"/>
      <c r="R569" s="179"/>
      <c r="S569" s="180"/>
      <c r="T569" s="179"/>
      <c r="U569" s="166" t="s">
        <v>1379</v>
      </c>
      <c r="V569" s="165">
        <v>13537948.390000001</v>
      </c>
      <c r="W569" s="451">
        <v>0</v>
      </c>
      <c r="X569" s="279"/>
      <c r="Y569" s="163"/>
    </row>
    <row r="570" spans="1:25" ht="25.5">
      <c r="A570" s="162"/>
      <c r="B570" s="179"/>
      <c r="C570" s="179"/>
      <c r="D570" s="179"/>
      <c r="E570" s="179"/>
      <c r="F570" s="179"/>
      <c r="G570" s="179"/>
      <c r="H570" s="179"/>
      <c r="I570" s="179"/>
      <c r="J570" s="179"/>
      <c r="K570" s="179"/>
      <c r="L570" s="179"/>
      <c r="M570" s="179"/>
      <c r="N570" s="179"/>
      <c r="O570" s="179"/>
      <c r="P570" s="179"/>
      <c r="Q570" s="179"/>
      <c r="R570" s="179"/>
      <c r="S570" s="180"/>
      <c r="T570" s="179"/>
      <c r="U570" s="166" t="s">
        <v>1380</v>
      </c>
      <c r="V570" s="165">
        <v>62972868.630000003</v>
      </c>
      <c r="W570" s="451">
        <v>0</v>
      </c>
      <c r="X570" s="279"/>
      <c r="Y570" s="163"/>
    </row>
    <row r="571" spans="1:25" ht="25.5">
      <c r="A571" s="162"/>
      <c r="B571" s="179"/>
      <c r="C571" s="179"/>
      <c r="D571" s="179"/>
      <c r="E571" s="179"/>
      <c r="F571" s="179"/>
      <c r="G571" s="179"/>
      <c r="H571" s="179"/>
      <c r="I571" s="179"/>
      <c r="J571" s="179"/>
      <c r="K571" s="179"/>
      <c r="L571" s="179"/>
      <c r="M571" s="179"/>
      <c r="N571" s="179"/>
      <c r="O571" s="179"/>
      <c r="P571" s="179"/>
      <c r="Q571" s="179"/>
      <c r="R571" s="179"/>
      <c r="S571" s="180"/>
      <c r="T571" s="179"/>
      <c r="U571" s="166" t="s">
        <v>1381</v>
      </c>
      <c r="V571" s="165">
        <v>881842.5</v>
      </c>
      <c r="W571" s="451">
        <v>0</v>
      </c>
      <c r="X571" s="279"/>
      <c r="Y571" s="163"/>
    </row>
    <row r="572" spans="1:25">
      <c r="A572" s="162"/>
      <c r="B572" s="179"/>
      <c r="C572" s="179"/>
      <c r="D572" s="179"/>
      <c r="E572" s="179"/>
      <c r="F572" s="179"/>
      <c r="G572" s="179"/>
      <c r="H572" s="179"/>
      <c r="I572" s="179"/>
      <c r="J572" s="179"/>
      <c r="K572" s="179"/>
      <c r="L572" s="179"/>
      <c r="M572" s="179"/>
      <c r="N572" s="179"/>
      <c r="O572" s="179"/>
      <c r="P572" s="179"/>
      <c r="Q572" s="179"/>
      <c r="R572" s="179"/>
      <c r="S572" s="180"/>
      <c r="T572" s="179"/>
      <c r="U572" s="166" t="s">
        <v>1382</v>
      </c>
      <c r="V572" s="165">
        <v>7373457.46</v>
      </c>
      <c r="W572" s="451">
        <v>0</v>
      </c>
      <c r="X572" s="279"/>
      <c r="Y572" s="163"/>
    </row>
    <row r="573" spans="1:25" ht="25.5">
      <c r="A573" s="162"/>
      <c r="B573" s="179"/>
      <c r="C573" s="179"/>
      <c r="D573" s="179"/>
      <c r="E573" s="179"/>
      <c r="F573" s="179"/>
      <c r="G573" s="179"/>
      <c r="H573" s="179"/>
      <c r="I573" s="179"/>
      <c r="J573" s="179"/>
      <c r="K573" s="179"/>
      <c r="L573" s="179"/>
      <c r="M573" s="179"/>
      <c r="N573" s="179"/>
      <c r="O573" s="179"/>
      <c r="P573" s="179"/>
      <c r="Q573" s="179"/>
      <c r="R573" s="179"/>
      <c r="S573" s="180"/>
      <c r="T573" s="179"/>
      <c r="U573" s="166" t="s">
        <v>1383</v>
      </c>
      <c r="V573" s="165">
        <v>1537500</v>
      </c>
      <c r="W573" s="451">
        <v>0</v>
      </c>
      <c r="X573" s="279"/>
      <c r="Y573" s="163"/>
    </row>
    <row r="574" spans="1:25" ht="25.5">
      <c r="A574" s="162"/>
      <c r="B574" s="179"/>
      <c r="C574" s="179"/>
      <c r="D574" s="179"/>
      <c r="E574" s="179"/>
      <c r="F574" s="179"/>
      <c r="G574" s="179"/>
      <c r="H574" s="179"/>
      <c r="I574" s="179"/>
      <c r="J574" s="179"/>
      <c r="K574" s="179"/>
      <c r="L574" s="179"/>
      <c r="M574" s="179"/>
      <c r="N574" s="179"/>
      <c r="O574" s="179"/>
      <c r="P574" s="179"/>
      <c r="Q574" s="179"/>
      <c r="R574" s="179"/>
      <c r="S574" s="180"/>
      <c r="T574" s="179"/>
      <c r="U574" s="166" t="s">
        <v>1384</v>
      </c>
      <c r="V574" s="165">
        <v>1333925.67</v>
      </c>
      <c r="W574" s="451">
        <v>0</v>
      </c>
      <c r="X574" s="279"/>
      <c r="Y574" s="163"/>
    </row>
    <row r="575" spans="1:25" ht="25.5">
      <c r="A575" s="162"/>
      <c r="B575" s="179"/>
      <c r="C575" s="179"/>
      <c r="D575" s="179"/>
      <c r="E575" s="179"/>
      <c r="F575" s="179"/>
      <c r="G575" s="179"/>
      <c r="H575" s="179"/>
      <c r="I575" s="179"/>
      <c r="J575" s="179"/>
      <c r="K575" s="179"/>
      <c r="L575" s="179"/>
      <c r="M575" s="179"/>
      <c r="N575" s="179"/>
      <c r="O575" s="179"/>
      <c r="P575" s="179"/>
      <c r="Q575" s="179"/>
      <c r="R575" s="179"/>
      <c r="S575" s="180"/>
      <c r="T575" s="179"/>
      <c r="U575" s="166" t="s">
        <v>1385</v>
      </c>
      <c r="V575" s="165">
        <v>22313625</v>
      </c>
      <c r="W575" s="451">
        <v>0</v>
      </c>
      <c r="X575" s="279"/>
      <c r="Y575" s="163"/>
    </row>
    <row r="576" spans="1:25">
      <c r="A576" s="162"/>
      <c r="B576" s="179"/>
      <c r="C576" s="179"/>
      <c r="D576" s="179"/>
      <c r="E576" s="179"/>
      <c r="F576" s="179"/>
      <c r="G576" s="179"/>
      <c r="H576" s="179"/>
      <c r="I576" s="179"/>
      <c r="J576" s="179"/>
      <c r="K576" s="179"/>
      <c r="L576" s="179"/>
      <c r="M576" s="179"/>
      <c r="N576" s="179"/>
      <c r="O576" s="179"/>
      <c r="P576" s="179"/>
      <c r="Q576" s="179"/>
      <c r="R576" s="179"/>
      <c r="S576" s="180"/>
      <c r="T576" s="179"/>
      <c r="U576" s="166" t="s">
        <v>1306</v>
      </c>
      <c r="V576" s="165">
        <v>19456491.07</v>
      </c>
      <c r="W576" s="451">
        <v>0</v>
      </c>
      <c r="X576" s="279"/>
      <c r="Y576" s="163"/>
    </row>
    <row r="577" spans="1:25">
      <c r="A577" s="162"/>
      <c r="B577" s="179"/>
      <c r="C577" s="179"/>
      <c r="D577" s="179"/>
      <c r="E577" s="179"/>
      <c r="F577" s="179"/>
      <c r="G577" s="179"/>
      <c r="H577" s="179"/>
      <c r="I577" s="179"/>
      <c r="J577" s="179"/>
      <c r="K577" s="179"/>
      <c r="L577" s="179"/>
      <c r="M577" s="179"/>
      <c r="N577" s="179"/>
      <c r="O577" s="179"/>
      <c r="P577" s="179"/>
      <c r="Q577" s="179"/>
      <c r="R577" s="179"/>
      <c r="S577" s="180"/>
      <c r="T577" s="179"/>
      <c r="U577" s="166" t="s">
        <v>1307</v>
      </c>
      <c r="V577" s="165">
        <v>13320000</v>
      </c>
      <c r="W577" s="451">
        <v>0</v>
      </c>
      <c r="X577" s="279"/>
      <c r="Y577" s="163"/>
    </row>
    <row r="578" spans="1:25">
      <c r="A578" s="162"/>
      <c r="B578" s="179"/>
      <c r="C578" s="179"/>
      <c r="D578" s="179"/>
      <c r="E578" s="179"/>
      <c r="F578" s="179"/>
      <c r="G578" s="179"/>
      <c r="H578" s="179"/>
      <c r="I578" s="179"/>
      <c r="J578" s="179"/>
      <c r="K578" s="179"/>
      <c r="L578" s="179"/>
      <c r="M578" s="179"/>
      <c r="N578" s="179"/>
      <c r="O578" s="179"/>
      <c r="P578" s="179"/>
      <c r="Q578" s="179"/>
      <c r="R578" s="179"/>
      <c r="S578" s="180"/>
      <c r="T578" s="179"/>
      <c r="U578" s="166" t="s">
        <v>1386</v>
      </c>
      <c r="V578" s="165">
        <v>527625</v>
      </c>
      <c r="W578" s="451">
        <v>0</v>
      </c>
      <c r="X578" s="279"/>
      <c r="Y578" s="163"/>
    </row>
    <row r="579" spans="1:25">
      <c r="A579" s="162"/>
      <c r="B579" s="179"/>
      <c r="C579" s="179"/>
      <c r="D579" s="179"/>
      <c r="E579" s="179"/>
      <c r="F579" s="179"/>
      <c r="G579" s="179"/>
      <c r="H579" s="179"/>
      <c r="I579" s="179"/>
      <c r="J579" s="179"/>
      <c r="K579" s="179"/>
      <c r="L579" s="179"/>
      <c r="M579" s="179"/>
      <c r="N579" s="179"/>
      <c r="O579" s="179"/>
      <c r="P579" s="179"/>
      <c r="Q579" s="179"/>
      <c r="R579" s="179"/>
      <c r="S579" s="180"/>
      <c r="T579" s="179"/>
      <c r="U579" s="166" t="s">
        <v>1308</v>
      </c>
      <c r="V579" s="165">
        <v>18000000</v>
      </c>
      <c r="W579" s="451">
        <v>0</v>
      </c>
      <c r="X579" s="279"/>
      <c r="Y579" s="163"/>
    </row>
    <row r="580" spans="1:25" ht="25.5">
      <c r="A580" s="162"/>
      <c r="B580" s="179"/>
      <c r="C580" s="179"/>
      <c r="D580" s="179"/>
      <c r="E580" s="179"/>
      <c r="F580" s="179"/>
      <c r="G580" s="179"/>
      <c r="H580" s="179"/>
      <c r="I580" s="179"/>
      <c r="J580" s="179"/>
      <c r="K580" s="179"/>
      <c r="L580" s="179"/>
      <c r="M580" s="179"/>
      <c r="N580" s="179"/>
      <c r="O580" s="179"/>
      <c r="P580" s="179"/>
      <c r="Q580" s="179"/>
      <c r="R580" s="179"/>
      <c r="S580" s="180"/>
      <c r="T580" s="179"/>
      <c r="U580" s="166" t="s">
        <v>1387</v>
      </c>
      <c r="V580" s="165">
        <v>50383750</v>
      </c>
      <c r="W580" s="451">
        <v>0</v>
      </c>
      <c r="X580" s="279"/>
      <c r="Y580" s="163"/>
    </row>
    <row r="581" spans="1:25" ht="25.5">
      <c r="A581" s="162"/>
      <c r="B581" s="179"/>
      <c r="C581" s="179"/>
      <c r="D581" s="179"/>
      <c r="E581" s="179"/>
      <c r="F581" s="179"/>
      <c r="G581" s="179"/>
      <c r="H581" s="179"/>
      <c r="I581" s="179"/>
      <c r="J581" s="179"/>
      <c r="K581" s="179"/>
      <c r="L581" s="179"/>
      <c r="M581" s="179"/>
      <c r="N581" s="179"/>
      <c r="O581" s="179"/>
      <c r="P581" s="179"/>
      <c r="Q581" s="179"/>
      <c r="R581" s="179"/>
      <c r="S581" s="180"/>
      <c r="T581" s="179"/>
      <c r="U581" s="166" t="s">
        <v>1388</v>
      </c>
      <c r="V581" s="165">
        <v>29943587.43</v>
      </c>
      <c r="W581" s="451">
        <v>0</v>
      </c>
      <c r="X581" s="279"/>
      <c r="Y581" s="163"/>
    </row>
    <row r="582" spans="1:25" ht="25.5">
      <c r="A582" s="162"/>
      <c r="B582" s="179"/>
      <c r="C582" s="179"/>
      <c r="D582" s="179"/>
      <c r="E582" s="179"/>
      <c r="F582" s="179"/>
      <c r="G582" s="179"/>
      <c r="H582" s="179"/>
      <c r="I582" s="179"/>
      <c r="J582" s="179"/>
      <c r="K582" s="179"/>
      <c r="L582" s="179"/>
      <c r="M582" s="179"/>
      <c r="N582" s="179"/>
      <c r="O582" s="179"/>
      <c r="P582" s="179"/>
      <c r="Q582" s="179"/>
      <c r="R582" s="179"/>
      <c r="S582" s="180"/>
      <c r="T582" s="179"/>
      <c r="U582" s="166" t="s">
        <v>1389</v>
      </c>
      <c r="V582" s="165">
        <v>14110081.65</v>
      </c>
      <c r="W582" s="451">
        <v>0</v>
      </c>
      <c r="X582" s="279"/>
      <c r="Y582" s="163"/>
    </row>
    <row r="583" spans="1:25">
      <c r="A583" s="162"/>
      <c r="B583" s="179"/>
      <c r="C583" s="179"/>
      <c r="D583" s="179"/>
      <c r="E583" s="179"/>
      <c r="F583" s="179"/>
      <c r="G583" s="179"/>
      <c r="H583" s="179"/>
      <c r="I583" s="179"/>
      <c r="J583" s="179"/>
      <c r="K583" s="179"/>
      <c r="L583" s="179"/>
      <c r="M583" s="179"/>
      <c r="N583" s="179"/>
      <c r="O583" s="179"/>
      <c r="P583" s="179"/>
      <c r="Q583" s="179"/>
      <c r="R583" s="179"/>
      <c r="S583" s="180"/>
      <c r="T583" s="179"/>
      <c r="U583" s="166" t="s">
        <v>1390</v>
      </c>
      <c r="V583" s="165">
        <v>4200000</v>
      </c>
      <c r="W583" s="451">
        <v>0</v>
      </c>
      <c r="X583" s="279"/>
      <c r="Y583" s="163"/>
    </row>
    <row r="584" spans="1:25">
      <c r="A584" s="162"/>
      <c r="B584" s="179"/>
      <c r="C584" s="179"/>
      <c r="D584" s="179"/>
      <c r="E584" s="179"/>
      <c r="F584" s="179"/>
      <c r="G584" s="179"/>
      <c r="H584" s="179"/>
      <c r="I584" s="179"/>
      <c r="J584" s="179"/>
      <c r="K584" s="179"/>
      <c r="L584" s="179"/>
      <c r="M584" s="179"/>
      <c r="N584" s="179"/>
      <c r="O584" s="179"/>
      <c r="P584" s="179"/>
      <c r="Q584" s="179"/>
      <c r="R584" s="179"/>
      <c r="S584" s="180"/>
      <c r="T584" s="179"/>
      <c r="U584" s="166" t="s">
        <v>1391</v>
      </c>
      <c r="V584" s="165">
        <v>525000</v>
      </c>
      <c r="W584" s="451">
        <v>0</v>
      </c>
      <c r="X584" s="279"/>
      <c r="Y584" s="163"/>
    </row>
    <row r="585" spans="1:25">
      <c r="A585" s="162"/>
      <c r="B585" s="179"/>
      <c r="C585" s="179"/>
      <c r="D585" s="179"/>
      <c r="E585" s="179"/>
      <c r="F585" s="179"/>
      <c r="G585" s="179"/>
      <c r="H585" s="179"/>
      <c r="I585" s="179"/>
      <c r="J585" s="179"/>
      <c r="K585" s="179"/>
      <c r="L585" s="179"/>
      <c r="M585" s="179"/>
      <c r="N585" s="179"/>
      <c r="O585" s="179"/>
      <c r="P585" s="179"/>
      <c r="Q585" s="179"/>
      <c r="R585" s="179"/>
      <c r="S585" s="180"/>
      <c r="T585" s="179"/>
      <c r="U585" s="166" t="s">
        <v>1392</v>
      </c>
      <c r="V585" s="165">
        <v>2100000</v>
      </c>
      <c r="W585" s="451">
        <v>0</v>
      </c>
      <c r="X585" s="279"/>
      <c r="Y585" s="163"/>
    </row>
    <row r="586" spans="1:25">
      <c r="A586" s="162"/>
      <c r="B586" s="179"/>
      <c r="C586" s="179"/>
      <c r="D586" s="179"/>
      <c r="E586" s="179"/>
      <c r="F586" s="179"/>
      <c r="G586" s="179"/>
      <c r="H586" s="179"/>
      <c r="I586" s="179"/>
      <c r="J586" s="179"/>
      <c r="K586" s="179"/>
      <c r="L586" s="179"/>
      <c r="M586" s="179"/>
      <c r="N586" s="179"/>
      <c r="O586" s="179"/>
      <c r="P586" s="179"/>
      <c r="Q586" s="179"/>
      <c r="R586" s="179"/>
      <c r="S586" s="180"/>
      <c r="T586" s="179"/>
      <c r="U586" s="166" t="s">
        <v>1393</v>
      </c>
      <c r="V586" s="165">
        <v>660000</v>
      </c>
      <c r="W586" s="451">
        <v>0</v>
      </c>
      <c r="X586" s="279"/>
      <c r="Y586" s="163"/>
    </row>
    <row r="587" spans="1:25" ht="25.5">
      <c r="A587" s="162"/>
      <c r="B587" s="179"/>
      <c r="C587" s="179"/>
      <c r="D587" s="179"/>
      <c r="E587" s="179"/>
      <c r="F587" s="179"/>
      <c r="G587" s="179"/>
      <c r="H587" s="179"/>
      <c r="I587" s="179"/>
      <c r="J587" s="179"/>
      <c r="K587" s="179"/>
      <c r="L587" s="179"/>
      <c r="M587" s="179"/>
      <c r="N587" s="179"/>
      <c r="O587" s="179"/>
      <c r="P587" s="179"/>
      <c r="Q587" s="179"/>
      <c r="R587" s="179"/>
      <c r="S587" s="180"/>
      <c r="T587" s="179"/>
      <c r="U587" s="166" t="s">
        <v>1394</v>
      </c>
      <c r="V587" s="165">
        <v>18755004.149999999</v>
      </c>
      <c r="W587" s="451">
        <v>0</v>
      </c>
      <c r="X587" s="279"/>
      <c r="Y587" s="163"/>
    </row>
    <row r="588" spans="1:25" ht="25.5">
      <c r="A588" s="162"/>
      <c r="B588" s="179"/>
      <c r="C588" s="179"/>
      <c r="D588" s="179"/>
      <c r="E588" s="179"/>
      <c r="F588" s="179"/>
      <c r="G588" s="179"/>
      <c r="H588" s="179"/>
      <c r="I588" s="179"/>
      <c r="J588" s="179"/>
      <c r="K588" s="179"/>
      <c r="L588" s="179"/>
      <c r="M588" s="179"/>
      <c r="N588" s="179"/>
      <c r="O588" s="179"/>
      <c r="P588" s="179"/>
      <c r="Q588" s="179"/>
      <c r="R588" s="179"/>
      <c r="S588" s="180"/>
      <c r="T588" s="179"/>
      <c r="U588" s="166" t="s">
        <v>1395</v>
      </c>
      <c r="V588" s="165">
        <v>8781308.3300000001</v>
      </c>
      <c r="W588" s="451">
        <v>0</v>
      </c>
      <c r="X588" s="279"/>
      <c r="Y588" s="163"/>
    </row>
    <row r="589" spans="1:25">
      <c r="A589" s="162"/>
      <c r="B589" s="179"/>
      <c r="C589" s="179"/>
      <c r="D589" s="179"/>
      <c r="E589" s="179"/>
      <c r="F589" s="179"/>
      <c r="G589" s="179"/>
      <c r="H589" s="179"/>
      <c r="I589" s="179"/>
      <c r="J589" s="179"/>
      <c r="K589" s="179"/>
      <c r="L589" s="179"/>
      <c r="M589" s="179"/>
      <c r="N589" s="179"/>
      <c r="O589" s="179"/>
      <c r="P589" s="179"/>
      <c r="Q589" s="179"/>
      <c r="R589" s="179"/>
      <c r="S589" s="180"/>
      <c r="T589" s="179"/>
      <c r="U589" s="166" t="s">
        <v>1396</v>
      </c>
      <c r="V589" s="165">
        <v>2770021.95</v>
      </c>
      <c r="W589" s="451">
        <v>0</v>
      </c>
      <c r="X589" s="279"/>
      <c r="Y589" s="163"/>
    </row>
    <row r="590" spans="1:25">
      <c r="A590" s="162"/>
      <c r="B590" s="179"/>
      <c r="C590" s="179"/>
      <c r="D590" s="179"/>
      <c r="E590" s="179"/>
      <c r="F590" s="179"/>
      <c r="G590" s="179"/>
      <c r="H590" s="179"/>
      <c r="I590" s="179"/>
      <c r="J590" s="179"/>
      <c r="K590" s="179"/>
      <c r="L590" s="179"/>
      <c r="M590" s="179"/>
      <c r="N590" s="179"/>
      <c r="O590" s="179"/>
      <c r="P590" s="179"/>
      <c r="Q590" s="179"/>
      <c r="R590" s="179"/>
      <c r="S590" s="180"/>
      <c r="T590" s="179"/>
      <c r="U590" s="166" t="s">
        <v>1397</v>
      </c>
      <c r="V590" s="165">
        <v>2677219.7200000002</v>
      </c>
      <c r="W590" s="451">
        <v>0</v>
      </c>
      <c r="X590" s="279"/>
      <c r="Y590" s="163"/>
    </row>
    <row r="591" spans="1:25" ht="25.5">
      <c r="A591" s="162"/>
      <c r="B591" s="179"/>
      <c r="C591" s="179"/>
      <c r="D591" s="179"/>
      <c r="E591" s="179"/>
      <c r="F591" s="179"/>
      <c r="G591" s="179"/>
      <c r="H591" s="179"/>
      <c r="I591" s="179"/>
      <c r="J591" s="179"/>
      <c r="K591" s="179"/>
      <c r="L591" s="179"/>
      <c r="M591" s="179"/>
      <c r="N591" s="179"/>
      <c r="O591" s="179"/>
      <c r="P591" s="179"/>
      <c r="Q591" s="179"/>
      <c r="R591" s="179"/>
      <c r="S591" s="180"/>
      <c r="T591" s="179"/>
      <c r="U591" s="166" t="s">
        <v>1398</v>
      </c>
      <c r="V591" s="165">
        <v>11816766.77</v>
      </c>
      <c r="W591" s="451">
        <v>0</v>
      </c>
      <c r="X591" s="279"/>
      <c r="Y591" s="163"/>
    </row>
    <row r="592" spans="1:25" ht="25.5">
      <c r="A592" s="162"/>
      <c r="B592" s="179"/>
      <c r="C592" s="179"/>
      <c r="D592" s="179"/>
      <c r="E592" s="179"/>
      <c r="F592" s="179"/>
      <c r="G592" s="179"/>
      <c r="H592" s="179"/>
      <c r="I592" s="179"/>
      <c r="J592" s="179"/>
      <c r="K592" s="179"/>
      <c r="L592" s="179"/>
      <c r="M592" s="179"/>
      <c r="N592" s="179"/>
      <c r="O592" s="179"/>
      <c r="P592" s="179"/>
      <c r="Q592" s="179"/>
      <c r="R592" s="179"/>
      <c r="S592" s="180"/>
      <c r="T592" s="179"/>
      <c r="U592" s="166" t="s">
        <v>1399</v>
      </c>
      <c r="V592" s="165">
        <v>2564781</v>
      </c>
      <c r="W592" s="451">
        <v>0</v>
      </c>
      <c r="X592" s="279"/>
      <c r="Y592" s="163"/>
    </row>
    <row r="593" spans="1:25">
      <c r="A593" s="162"/>
      <c r="B593" s="179"/>
      <c r="C593" s="179"/>
      <c r="D593" s="179"/>
      <c r="E593" s="179"/>
      <c r="F593" s="179"/>
      <c r="G593" s="179"/>
      <c r="H593" s="179"/>
      <c r="I593" s="179"/>
      <c r="J593" s="179"/>
      <c r="K593" s="179"/>
      <c r="L593" s="179"/>
      <c r="M593" s="179"/>
      <c r="N593" s="179"/>
      <c r="O593" s="179"/>
      <c r="P593" s="179"/>
      <c r="Q593" s="179"/>
      <c r="R593" s="179"/>
      <c r="S593" s="180"/>
      <c r="T593" s="179"/>
      <c r="U593" s="166" t="s">
        <v>1400</v>
      </c>
      <c r="V593" s="165">
        <v>19772582.280000001</v>
      </c>
      <c r="W593" s="451">
        <v>0</v>
      </c>
      <c r="X593" s="279"/>
      <c r="Y593" s="163"/>
    </row>
    <row r="594" spans="1:25" ht="25.5">
      <c r="A594" s="162"/>
      <c r="B594" s="179"/>
      <c r="C594" s="179"/>
      <c r="D594" s="179"/>
      <c r="E594" s="179"/>
      <c r="F594" s="179"/>
      <c r="G594" s="179"/>
      <c r="H594" s="179"/>
      <c r="I594" s="179"/>
      <c r="J594" s="179"/>
      <c r="K594" s="179"/>
      <c r="L594" s="179"/>
      <c r="M594" s="179"/>
      <c r="N594" s="179"/>
      <c r="O594" s="179"/>
      <c r="P594" s="179"/>
      <c r="Q594" s="179"/>
      <c r="R594" s="179"/>
      <c r="S594" s="180"/>
      <c r="T594" s="179"/>
      <c r="U594" s="166" t="s">
        <v>1401</v>
      </c>
      <c r="V594" s="165">
        <v>12434664.85</v>
      </c>
      <c r="W594" s="451">
        <v>0</v>
      </c>
      <c r="X594" s="279"/>
      <c r="Y594" s="163"/>
    </row>
    <row r="595" spans="1:25">
      <c r="A595" s="162"/>
      <c r="B595" s="179"/>
      <c r="C595" s="179"/>
      <c r="D595" s="179"/>
      <c r="E595" s="179"/>
      <c r="F595" s="179"/>
      <c r="G595" s="179"/>
      <c r="H595" s="179"/>
      <c r="I595" s="179"/>
      <c r="J595" s="179"/>
      <c r="K595" s="179"/>
      <c r="L595" s="179"/>
      <c r="M595" s="179"/>
      <c r="N595" s="179"/>
      <c r="O595" s="179"/>
      <c r="P595" s="179"/>
      <c r="Q595" s="179"/>
      <c r="R595" s="179"/>
      <c r="S595" s="180"/>
      <c r="T595" s="179"/>
      <c r="U595" s="166" t="s">
        <v>1402</v>
      </c>
      <c r="V595" s="165">
        <v>17224322.899999999</v>
      </c>
      <c r="W595" s="451">
        <v>0</v>
      </c>
      <c r="X595" s="279"/>
      <c r="Y595" s="163"/>
    </row>
    <row r="596" spans="1:25" ht="25.5">
      <c r="A596" s="162"/>
      <c r="B596" s="179"/>
      <c r="C596" s="179"/>
      <c r="D596" s="179"/>
      <c r="E596" s="179"/>
      <c r="F596" s="179"/>
      <c r="G596" s="179"/>
      <c r="H596" s="179"/>
      <c r="I596" s="179"/>
      <c r="J596" s="179"/>
      <c r="K596" s="179"/>
      <c r="L596" s="179"/>
      <c r="M596" s="179"/>
      <c r="N596" s="179"/>
      <c r="O596" s="179"/>
      <c r="P596" s="179"/>
      <c r="Q596" s="179"/>
      <c r="R596" s="179"/>
      <c r="S596" s="180"/>
      <c r="T596" s="179"/>
      <c r="U596" s="166" t="s">
        <v>1403</v>
      </c>
      <c r="V596" s="165">
        <v>127496492.58</v>
      </c>
      <c r="W596" s="451">
        <v>0</v>
      </c>
      <c r="X596" s="279"/>
      <c r="Y596" s="163"/>
    </row>
    <row r="597" spans="1:25" ht="25.5">
      <c r="A597" s="162"/>
      <c r="B597" s="179"/>
      <c r="C597" s="179"/>
      <c r="D597" s="179"/>
      <c r="E597" s="179"/>
      <c r="F597" s="179"/>
      <c r="G597" s="179"/>
      <c r="H597" s="179"/>
      <c r="I597" s="179"/>
      <c r="J597" s="179"/>
      <c r="K597" s="179"/>
      <c r="L597" s="179"/>
      <c r="M597" s="179"/>
      <c r="N597" s="179"/>
      <c r="O597" s="179"/>
      <c r="P597" s="179"/>
      <c r="Q597" s="179"/>
      <c r="R597" s="179"/>
      <c r="S597" s="180"/>
      <c r="T597" s="179"/>
      <c r="U597" s="166" t="s">
        <v>1404</v>
      </c>
      <c r="V597" s="165">
        <v>58994337.119999997</v>
      </c>
      <c r="W597" s="451">
        <v>0</v>
      </c>
      <c r="X597" s="279"/>
      <c r="Y597" s="163"/>
    </row>
    <row r="598" spans="1:25" ht="25.5">
      <c r="A598" s="162"/>
      <c r="B598" s="179"/>
      <c r="C598" s="179"/>
      <c r="D598" s="179"/>
      <c r="E598" s="179"/>
      <c r="F598" s="179"/>
      <c r="G598" s="179"/>
      <c r="H598" s="179"/>
      <c r="I598" s="179"/>
      <c r="J598" s="179"/>
      <c r="K598" s="179"/>
      <c r="L598" s="179"/>
      <c r="M598" s="179"/>
      <c r="N598" s="179"/>
      <c r="O598" s="179"/>
      <c r="P598" s="179"/>
      <c r="Q598" s="179"/>
      <c r="R598" s="179"/>
      <c r="S598" s="180"/>
      <c r="T598" s="179"/>
      <c r="U598" s="166" t="s">
        <v>1405</v>
      </c>
      <c r="V598" s="165">
        <v>15101568.75</v>
      </c>
      <c r="W598" s="451">
        <v>0</v>
      </c>
      <c r="X598" s="279"/>
      <c r="Y598" s="163"/>
    </row>
    <row r="599" spans="1:25" ht="25.5">
      <c r="A599" s="162"/>
      <c r="B599" s="179"/>
      <c r="C599" s="179"/>
      <c r="D599" s="179"/>
      <c r="E599" s="179"/>
      <c r="F599" s="179"/>
      <c r="G599" s="179"/>
      <c r="H599" s="179"/>
      <c r="I599" s="179"/>
      <c r="J599" s="179"/>
      <c r="K599" s="179"/>
      <c r="L599" s="179"/>
      <c r="M599" s="179"/>
      <c r="N599" s="179"/>
      <c r="O599" s="179"/>
      <c r="P599" s="179"/>
      <c r="Q599" s="179"/>
      <c r="R599" s="179"/>
      <c r="S599" s="180"/>
      <c r="T599" s="179"/>
      <c r="U599" s="166" t="s">
        <v>1406</v>
      </c>
      <c r="V599" s="165">
        <v>3851550</v>
      </c>
      <c r="W599" s="451">
        <v>0</v>
      </c>
      <c r="X599" s="279"/>
      <c r="Y599" s="163"/>
    </row>
    <row r="600" spans="1:25" ht="25.5">
      <c r="A600" s="162"/>
      <c r="B600" s="179"/>
      <c r="C600" s="179"/>
      <c r="D600" s="179"/>
      <c r="E600" s="179"/>
      <c r="F600" s="179"/>
      <c r="G600" s="179"/>
      <c r="H600" s="179"/>
      <c r="I600" s="179"/>
      <c r="J600" s="179"/>
      <c r="K600" s="179"/>
      <c r="L600" s="179"/>
      <c r="M600" s="179"/>
      <c r="N600" s="179"/>
      <c r="O600" s="179"/>
      <c r="P600" s="179"/>
      <c r="Q600" s="179"/>
      <c r="R600" s="179"/>
      <c r="S600" s="180"/>
      <c r="T600" s="179"/>
      <c r="U600" s="166" t="s">
        <v>1314</v>
      </c>
      <c r="V600" s="165">
        <v>38644553</v>
      </c>
      <c r="W600" s="451">
        <v>0</v>
      </c>
      <c r="X600" s="279"/>
      <c r="Y600" s="163"/>
    </row>
    <row r="601" spans="1:25">
      <c r="A601" s="162"/>
      <c r="B601" s="179"/>
      <c r="C601" s="179"/>
      <c r="D601" s="179"/>
      <c r="E601" s="179"/>
      <c r="F601" s="179"/>
      <c r="G601" s="179"/>
      <c r="H601" s="179"/>
      <c r="I601" s="179"/>
      <c r="J601" s="179"/>
      <c r="K601" s="179"/>
      <c r="L601" s="179"/>
      <c r="M601" s="179"/>
      <c r="N601" s="179"/>
      <c r="O601" s="179"/>
      <c r="P601" s="179"/>
      <c r="Q601" s="179"/>
      <c r="R601" s="179"/>
      <c r="S601" s="180"/>
      <c r="T601" s="179"/>
      <c r="U601" s="166" t="s">
        <v>1407</v>
      </c>
      <c r="V601" s="165">
        <v>38315535</v>
      </c>
      <c r="W601" s="451">
        <v>0</v>
      </c>
      <c r="X601" s="279"/>
      <c r="Y601" s="163"/>
    </row>
    <row r="602" spans="1:25" ht="25.5">
      <c r="A602" s="162"/>
      <c r="B602" s="179"/>
      <c r="C602" s="179"/>
      <c r="D602" s="179"/>
      <c r="E602" s="179"/>
      <c r="F602" s="179"/>
      <c r="G602" s="179"/>
      <c r="H602" s="179"/>
      <c r="I602" s="179"/>
      <c r="J602" s="179"/>
      <c r="K602" s="179"/>
      <c r="L602" s="179"/>
      <c r="M602" s="179"/>
      <c r="N602" s="179"/>
      <c r="O602" s="179"/>
      <c r="P602" s="179"/>
      <c r="Q602" s="179"/>
      <c r="R602" s="179"/>
      <c r="S602" s="180"/>
      <c r="T602" s="179"/>
      <c r="U602" s="166" t="s">
        <v>1408</v>
      </c>
      <c r="V602" s="165">
        <v>7042824.8499999996</v>
      </c>
      <c r="W602" s="451">
        <v>0</v>
      </c>
      <c r="X602" s="279"/>
      <c r="Y602" s="163"/>
    </row>
    <row r="603" spans="1:25" ht="25.5">
      <c r="A603" s="162"/>
      <c r="B603" s="179"/>
      <c r="C603" s="179"/>
      <c r="D603" s="179"/>
      <c r="E603" s="179"/>
      <c r="F603" s="179"/>
      <c r="G603" s="179"/>
      <c r="H603" s="179"/>
      <c r="I603" s="179"/>
      <c r="J603" s="179"/>
      <c r="K603" s="179"/>
      <c r="L603" s="179"/>
      <c r="M603" s="179"/>
      <c r="N603" s="179"/>
      <c r="O603" s="179"/>
      <c r="P603" s="179"/>
      <c r="Q603" s="179"/>
      <c r="R603" s="179"/>
      <c r="S603" s="180"/>
      <c r="T603" s="179"/>
      <c r="U603" s="166" t="s">
        <v>1409</v>
      </c>
      <c r="V603" s="165">
        <v>39467384.630000003</v>
      </c>
      <c r="W603" s="451">
        <v>0</v>
      </c>
      <c r="X603" s="279"/>
      <c r="Y603" s="163"/>
    </row>
    <row r="604" spans="1:25" ht="25.5">
      <c r="A604" s="162"/>
      <c r="B604" s="179"/>
      <c r="C604" s="179"/>
      <c r="D604" s="179"/>
      <c r="E604" s="179"/>
      <c r="F604" s="179"/>
      <c r="G604" s="179"/>
      <c r="H604" s="179"/>
      <c r="I604" s="179"/>
      <c r="J604" s="179"/>
      <c r="K604" s="179"/>
      <c r="L604" s="179"/>
      <c r="M604" s="179"/>
      <c r="N604" s="179"/>
      <c r="O604" s="179"/>
      <c r="P604" s="179"/>
      <c r="Q604" s="179"/>
      <c r="R604" s="179"/>
      <c r="S604" s="180"/>
      <c r="T604" s="179"/>
      <c r="U604" s="166" t="s">
        <v>1410</v>
      </c>
      <c r="V604" s="165">
        <v>20363384.43</v>
      </c>
      <c r="W604" s="451">
        <v>0</v>
      </c>
      <c r="X604" s="279"/>
      <c r="Y604" s="163"/>
    </row>
    <row r="605" spans="1:25">
      <c r="A605" s="162"/>
      <c r="B605" s="179"/>
      <c r="C605" s="179"/>
      <c r="D605" s="179"/>
      <c r="E605" s="179"/>
      <c r="F605" s="179"/>
      <c r="G605" s="179"/>
      <c r="H605" s="179"/>
      <c r="I605" s="179"/>
      <c r="J605" s="179"/>
      <c r="K605" s="179"/>
      <c r="L605" s="179"/>
      <c r="M605" s="179"/>
      <c r="N605" s="179"/>
      <c r="O605" s="179"/>
      <c r="P605" s="179"/>
      <c r="Q605" s="179"/>
      <c r="R605" s="179"/>
      <c r="S605" s="180"/>
      <c r="T605" s="179"/>
      <c r="U605" s="166" t="s">
        <v>1411</v>
      </c>
      <c r="V605" s="165">
        <v>584246.25</v>
      </c>
      <c r="W605" s="451">
        <v>0</v>
      </c>
      <c r="X605" s="279"/>
      <c r="Y605" s="163"/>
    </row>
    <row r="606" spans="1:25" ht="25.5">
      <c r="A606" s="162"/>
      <c r="B606" s="179"/>
      <c r="C606" s="179"/>
      <c r="D606" s="179"/>
      <c r="E606" s="179"/>
      <c r="F606" s="179"/>
      <c r="G606" s="179"/>
      <c r="H606" s="179"/>
      <c r="I606" s="179"/>
      <c r="J606" s="179"/>
      <c r="K606" s="179"/>
      <c r="L606" s="179"/>
      <c r="M606" s="179"/>
      <c r="N606" s="179"/>
      <c r="O606" s="179"/>
      <c r="P606" s="179"/>
      <c r="Q606" s="179"/>
      <c r="R606" s="179"/>
      <c r="S606" s="180"/>
      <c r="T606" s="179"/>
      <c r="U606" s="166" t="s">
        <v>1412</v>
      </c>
      <c r="V606" s="165">
        <v>7750433.2480000006</v>
      </c>
      <c r="W606" s="451">
        <v>0</v>
      </c>
      <c r="X606" s="279"/>
      <c r="Y606" s="163"/>
    </row>
    <row r="607" spans="1:25" ht="25.5">
      <c r="A607" s="162"/>
      <c r="B607" s="179"/>
      <c r="C607" s="179"/>
      <c r="D607" s="179"/>
      <c r="E607" s="179"/>
      <c r="F607" s="179"/>
      <c r="G607" s="179"/>
      <c r="H607" s="179"/>
      <c r="I607" s="179"/>
      <c r="J607" s="179"/>
      <c r="K607" s="179"/>
      <c r="L607" s="179"/>
      <c r="M607" s="179"/>
      <c r="N607" s="179"/>
      <c r="O607" s="179"/>
      <c r="P607" s="179"/>
      <c r="Q607" s="179"/>
      <c r="R607" s="179"/>
      <c r="S607" s="180"/>
      <c r="T607" s="179"/>
      <c r="U607" s="166" t="s">
        <v>1413</v>
      </c>
      <c r="V607" s="165">
        <v>30000000</v>
      </c>
      <c r="W607" s="451">
        <v>0</v>
      </c>
      <c r="X607" s="279"/>
      <c r="Y607" s="163"/>
    </row>
    <row r="608" spans="1:25" ht="25.5">
      <c r="A608" s="162"/>
      <c r="B608" s="179"/>
      <c r="C608" s="179"/>
      <c r="D608" s="179"/>
      <c r="E608" s="179"/>
      <c r="F608" s="179"/>
      <c r="G608" s="179"/>
      <c r="H608" s="179"/>
      <c r="I608" s="179"/>
      <c r="J608" s="179"/>
      <c r="K608" s="179"/>
      <c r="L608" s="179"/>
      <c r="M608" s="179"/>
      <c r="N608" s="179"/>
      <c r="O608" s="179"/>
      <c r="P608" s="179"/>
      <c r="Q608" s="179"/>
      <c r="R608" s="179"/>
      <c r="S608" s="180"/>
      <c r="T608" s="179"/>
      <c r="U608" s="166" t="s">
        <v>1414</v>
      </c>
      <c r="V608" s="165">
        <v>100000000</v>
      </c>
      <c r="W608" s="451">
        <v>0</v>
      </c>
      <c r="X608" s="279"/>
      <c r="Y608" s="163"/>
    </row>
    <row r="609" spans="1:25" ht="25.5">
      <c r="A609" s="162"/>
      <c r="B609" s="179"/>
      <c r="C609" s="179"/>
      <c r="D609" s="179"/>
      <c r="E609" s="179"/>
      <c r="F609" s="179"/>
      <c r="G609" s="179"/>
      <c r="H609" s="179"/>
      <c r="I609" s="179"/>
      <c r="J609" s="179"/>
      <c r="K609" s="179"/>
      <c r="L609" s="179"/>
      <c r="M609" s="179"/>
      <c r="N609" s="179"/>
      <c r="O609" s="179"/>
      <c r="P609" s="179"/>
      <c r="Q609" s="179"/>
      <c r="R609" s="179"/>
      <c r="S609" s="180"/>
      <c r="T609" s="179"/>
      <c r="U609" s="166" t="s">
        <v>1415</v>
      </c>
      <c r="V609" s="165">
        <v>150000000</v>
      </c>
      <c r="W609" s="451">
        <v>0</v>
      </c>
      <c r="X609" s="279"/>
      <c r="Y609" s="163"/>
    </row>
    <row r="610" spans="1:25" ht="25.5">
      <c r="A610" s="162"/>
      <c r="B610" s="179"/>
      <c r="C610" s="179"/>
      <c r="D610" s="179"/>
      <c r="E610" s="179"/>
      <c r="F610" s="179"/>
      <c r="G610" s="179"/>
      <c r="H610" s="179"/>
      <c r="I610" s="179"/>
      <c r="J610" s="179"/>
      <c r="K610" s="179"/>
      <c r="L610" s="179"/>
      <c r="M610" s="179"/>
      <c r="N610" s="179"/>
      <c r="O610" s="179"/>
      <c r="P610" s="179"/>
      <c r="Q610" s="179"/>
      <c r="R610" s="179"/>
      <c r="S610" s="180"/>
      <c r="T610" s="179"/>
      <c r="U610" s="166" t="s">
        <v>1317</v>
      </c>
      <c r="V610" s="165">
        <v>100000000</v>
      </c>
      <c r="W610" s="451">
        <v>0</v>
      </c>
      <c r="X610" s="279"/>
      <c r="Y610" s="163"/>
    </row>
    <row r="611" spans="1:25" ht="25.5">
      <c r="A611" s="162"/>
      <c r="B611" s="179"/>
      <c r="C611" s="179"/>
      <c r="D611" s="179"/>
      <c r="E611" s="179"/>
      <c r="F611" s="179"/>
      <c r="G611" s="179"/>
      <c r="H611" s="179"/>
      <c r="I611" s="179"/>
      <c r="J611" s="179"/>
      <c r="K611" s="179"/>
      <c r="L611" s="179"/>
      <c r="M611" s="179"/>
      <c r="N611" s="179"/>
      <c r="O611" s="179"/>
      <c r="P611" s="179"/>
      <c r="Q611" s="179"/>
      <c r="R611" s="179"/>
      <c r="S611" s="180"/>
      <c r="T611" s="179"/>
      <c r="U611" s="166" t="s">
        <v>2393</v>
      </c>
      <c r="V611" s="165">
        <v>50000000</v>
      </c>
      <c r="W611" s="451">
        <v>0</v>
      </c>
      <c r="X611" s="283">
        <v>50474600</v>
      </c>
      <c r="Y611" s="163"/>
    </row>
    <row r="612" spans="1:25" ht="25.5">
      <c r="A612" s="162"/>
      <c r="B612" s="179"/>
      <c r="C612" s="179"/>
      <c r="D612" s="179"/>
      <c r="E612" s="179"/>
      <c r="F612" s="179"/>
      <c r="G612" s="179"/>
      <c r="H612" s="179"/>
      <c r="I612" s="179"/>
      <c r="J612" s="179"/>
      <c r="K612" s="179"/>
      <c r="L612" s="179"/>
      <c r="M612" s="179"/>
      <c r="N612" s="179"/>
      <c r="O612" s="179"/>
      <c r="P612" s="179"/>
      <c r="Q612" s="179"/>
      <c r="R612" s="179"/>
      <c r="S612" s="180"/>
      <c r="T612" s="179"/>
      <c r="U612" s="166" t="s">
        <v>1416</v>
      </c>
      <c r="V612" s="165">
        <v>1478844.83</v>
      </c>
      <c r="W612" s="451">
        <v>0</v>
      </c>
      <c r="X612" s="279"/>
      <c r="Y612" s="163"/>
    </row>
    <row r="613" spans="1:25" ht="25.5">
      <c r="A613" s="162"/>
      <c r="B613" s="179"/>
      <c r="C613" s="179"/>
      <c r="D613" s="179"/>
      <c r="E613" s="179"/>
      <c r="F613" s="179"/>
      <c r="G613" s="179"/>
      <c r="H613" s="179"/>
      <c r="I613" s="179"/>
      <c r="J613" s="179"/>
      <c r="K613" s="179"/>
      <c r="L613" s="179"/>
      <c r="M613" s="179"/>
      <c r="N613" s="179"/>
      <c r="O613" s="179"/>
      <c r="P613" s="179"/>
      <c r="Q613" s="179"/>
      <c r="R613" s="179"/>
      <c r="S613" s="180"/>
      <c r="T613" s="179"/>
      <c r="U613" s="166" t="s">
        <v>1417</v>
      </c>
      <c r="V613" s="165">
        <v>2210135.02</v>
      </c>
      <c r="W613" s="451">
        <v>0</v>
      </c>
      <c r="X613" s="279"/>
      <c r="Y613" s="163"/>
    </row>
    <row r="614" spans="1:25" ht="25.5">
      <c r="A614" s="162"/>
      <c r="B614" s="179"/>
      <c r="C614" s="179"/>
      <c r="D614" s="179"/>
      <c r="E614" s="179"/>
      <c r="F614" s="179"/>
      <c r="G614" s="179"/>
      <c r="H614" s="179"/>
      <c r="I614" s="179"/>
      <c r="J614" s="179"/>
      <c r="K614" s="179"/>
      <c r="L614" s="179"/>
      <c r="M614" s="179"/>
      <c r="N614" s="179"/>
      <c r="O614" s="179"/>
      <c r="P614" s="179"/>
      <c r="Q614" s="179"/>
      <c r="R614" s="179"/>
      <c r="S614" s="180"/>
      <c r="T614" s="179"/>
      <c r="U614" s="166" t="s">
        <v>1418</v>
      </c>
      <c r="V614" s="165">
        <v>20060266.390000001</v>
      </c>
      <c r="W614" s="451">
        <v>0</v>
      </c>
      <c r="X614" s="279"/>
      <c r="Y614" s="163"/>
    </row>
    <row r="615" spans="1:25" ht="25.5">
      <c r="A615" s="162"/>
      <c r="B615" s="179"/>
      <c r="C615" s="179"/>
      <c r="D615" s="179"/>
      <c r="E615" s="179"/>
      <c r="F615" s="179"/>
      <c r="G615" s="179"/>
      <c r="H615" s="179"/>
      <c r="I615" s="179"/>
      <c r="J615" s="179"/>
      <c r="K615" s="179"/>
      <c r="L615" s="179"/>
      <c r="M615" s="179"/>
      <c r="N615" s="179"/>
      <c r="O615" s="179"/>
      <c r="P615" s="179"/>
      <c r="Q615" s="179"/>
      <c r="R615" s="179"/>
      <c r="S615" s="180"/>
      <c r="T615" s="179"/>
      <c r="U615" s="166" t="s">
        <v>1419</v>
      </c>
      <c r="V615" s="165">
        <v>74782638.75</v>
      </c>
      <c r="W615" s="451">
        <v>0</v>
      </c>
      <c r="X615" s="279"/>
      <c r="Y615" s="163"/>
    </row>
    <row r="616" spans="1:25">
      <c r="A616" s="162"/>
      <c r="B616" s="179"/>
      <c r="C616" s="179"/>
      <c r="D616" s="179"/>
      <c r="E616" s="179"/>
      <c r="F616" s="179"/>
      <c r="G616" s="179"/>
      <c r="H616" s="179"/>
      <c r="I616" s="179"/>
      <c r="J616" s="179"/>
      <c r="K616" s="179"/>
      <c r="L616" s="179"/>
      <c r="M616" s="179"/>
      <c r="N616" s="179"/>
      <c r="O616" s="179"/>
      <c r="P616" s="179"/>
      <c r="Q616" s="179"/>
      <c r="R616" s="179"/>
      <c r="S616" s="180"/>
      <c r="T616" s="179"/>
      <c r="U616" s="166" t="s">
        <v>1323</v>
      </c>
      <c r="V616" s="165">
        <v>96649219.540000007</v>
      </c>
      <c r="W616" s="451">
        <v>0</v>
      </c>
      <c r="X616" s="279"/>
      <c r="Y616" s="163"/>
    </row>
    <row r="617" spans="1:25">
      <c r="A617" s="162"/>
      <c r="B617" s="179"/>
      <c r="C617" s="179"/>
      <c r="D617" s="179"/>
      <c r="E617" s="179"/>
      <c r="F617" s="179"/>
      <c r="G617" s="179"/>
      <c r="H617" s="179"/>
      <c r="I617" s="179"/>
      <c r="J617" s="179"/>
      <c r="K617" s="179"/>
      <c r="L617" s="179"/>
      <c r="M617" s="179"/>
      <c r="N617" s="179"/>
      <c r="O617" s="179"/>
      <c r="P617" s="179"/>
      <c r="Q617" s="179"/>
      <c r="R617" s="179"/>
      <c r="S617" s="180"/>
      <c r="T617" s="179"/>
      <c r="U617" s="166" t="s">
        <v>1420</v>
      </c>
      <c r="V617" s="165">
        <v>1638198.44</v>
      </c>
      <c r="W617" s="451">
        <v>0</v>
      </c>
      <c r="X617" s="279"/>
      <c r="Y617" s="163"/>
    </row>
    <row r="618" spans="1:25">
      <c r="A618" s="162"/>
      <c r="B618" s="179"/>
      <c r="C618" s="179"/>
      <c r="D618" s="179"/>
      <c r="E618" s="179"/>
      <c r="F618" s="179"/>
      <c r="G618" s="179"/>
      <c r="H618" s="179"/>
      <c r="I618" s="179"/>
      <c r="J618" s="179"/>
      <c r="K618" s="179"/>
      <c r="L618" s="179"/>
      <c r="M618" s="179"/>
      <c r="N618" s="179"/>
      <c r="O618" s="179"/>
      <c r="P618" s="179"/>
      <c r="Q618" s="179"/>
      <c r="R618" s="179"/>
      <c r="S618" s="180"/>
      <c r="T618" s="179"/>
      <c r="U618" s="166" t="s">
        <v>1319</v>
      </c>
      <c r="V618" s="165">
        <v>11602408.880000001</v>
      </c>
      <c r="W618" s="451">
        <v>0</v>
      </c>
      <c r="X618" s="279"/>
      <c r="Y618" s="163"/>
    </row>
    <row r="619" spans="1:25">
      <c r="A619" s="162"/>
      <c r="B619" s="179"/>
      <c r="C619" s="179"/>
      <c r="D619" s="179"/>
      <c r="E619" s="179"/>
      <c r="F619" s="179"/>
      <c r="G619" s="179"/>
      <c r="H619" s="179"/>
      <c r="I619" s="179"/>
      <c r="J619" s="179"/>
      <c r="K619" s="179"/>
      <c r="L619" s="179"/>
      <c r="M619" s="179"/>
      <c r="N619" s="179"/>
      <c r="O619" s="179"/>
      <c r="P619" s="179"/>
      <c r="Q619" s="179"/>
      <c r="R619" s="179"/>
      <c r="S619" s="180"/>
      <c r="T619" s="179"/>
      <c r="U619" s="166" t="s">
        <v>1421</v>
      </c>
      <c r="V619" s="165">
        <v>3806979.04</v>
      </c>
      <c r="W619" s="451">
        <v>0</v>
      </c>
      <c r="X619" s="279"/>
      <c r="Y619" s="163"/>
    </row>
    <row r="620" spans="1:25">
      <c r="A620" s="162"/>
      <c r="B620" s="179"/>
      <c r="C620" s="179"/>
      <c r="D620" s="179"/>
      <c r="E620" s="179"/>
      <c r="F620" s="179"/>
      <c r="G620" s="179"/>
      <c r="H620" s="179"/>
      <c r="I620" s="179"/>
      <c r="J620" s="179"/>
      <c r="K620" s="179"/>
      <c r="L620" s="179"/>
      <c r="M620" s="179"/>
      <c r="N620" s="179"/>
      <c r="O620" s="179"/>
      <c r="P620" s="179"/>
      <c r="Q620" s="179"/>
      <c r="R620" s="179"/>
      <c r="S620" s="180"/>
      <c r="T620" s="179"/>
      <c r="U620" s="369" t="s">
        <v>2096</v>
      </c>
      <c r="V620" s="165"/>
      <c r="W620" s="451">
        <v>0</v>
      </c>
      <c r="X620" s="366">
        <v>500000000</v>
      </c>
      <c r="Y620" s="366">
        <v>250000000</v>
      </c>
    </row>
    <row r="621" spans="1:25">
      <c r="A621" s="162"/>
      <c r="B621" s="179"/>
      <c r="C621" s="179"/>
      <c r="D621" s="179"/>
      <c r="E621" s="179"/>
      <c r="F621" s="179"/>
      <c r="G621" s="179"/>
      <c r="H621" s="179"/>
      <c r="I621" s="179"/>
      <c r="J621" s="179"/>
      <c r="K621" s="179"/>
      <c r="L621" s="179"/>
      <c r="M621" s="179"/>
      <c r="N621" s="179"/>
      <c r="O621" s="179"/>
      <c r="P621" s="179"/>
      <c r="Q621" s="179"/>
      <c r="R621" s="179"/>
      <c r="S621" s="180"/>
      <c r="T621" s="179"/>
      <c r="U621" s="368" t="s">
        <v>2097</v>
      </c>
      <c r="V621" s="165"/>
      <c r="W621" s="451">
        <v>0</v>
      </c>
      <c r="X621" s="366">
        <v>800000000</v>
      </c>
      <c r="Y621" s="366">
        <v>400000000</v>
      </c>
    </row>
    <row r="622" spans="1:25">
      <c r="A622" s="162"/>
      <c r="B622" s="179"/>
      <c r="C622" s="179"/>
      <c r="D622" s="179"/>
      <c r="E622" s="179"/>
      <c r="F622" s="179"/>
      <c r="G622" s="179"/>
      <c r="H622" s="179"/>
      <c r="I622" s="179"/>
      <c r="J622" s="179"/>
      <c r="K622" s="179"/>
      <c r="L622" s="179"/>
      <c r="M622" s="179"/>
      <c r="N622" s="179"/>
      <c r="O622" s="179"/>
      <c r="P622" s="179"/>
      <c r="Q622" s="179"/>
      <c r="R622" s="179"/>
      <c r="S622" s="180"/>
      <c r="T622" s="179"/>
      <c r="U622" s="368" t="s">
        <v>2394</v>
      </c>
      <c r="V622" s="165"/>
      <c r="W622" s="451">
        <v>0</v>
      </c>
      <c r="X622" s="366">
        <v>600000000</v>
      </c>
      <c r="Y622" s="366">
        <v>200000000</v>
      </c>
    </row>
    <row r="623" spans="1:25">
      <c r="A623" s="162"/>
      <c r="B623" s="179"/>
      <c r="C623" s="179"/>
      <c r="D623" s="179"/>
      <c r="E623" s="179"/>
      <c r="F623" s="179"/>
      <c r="G623" s="179"/>
      <c r="H623" s="179"/>
      <c r="I623" s="179"/>
      <c r="J623" s="179"/>
      <c r="K623" s="179"/>
      <c r="L623" s="179"/>
      <c r="M623" s="179"/>
      <c r="N623" s="179"/>
      <c r="O623" s="179"/>
      <c r="P623" s="179"/>
      <c r="Q623" s="179"/>
      <c r="R623" s="179"/>
      <c r="S623" s="180"/>
      <c r="T623" s="179"/>
      <c r="U623" s="368" t="s">
        <v>2395</v>
      </c>
      <c r="V623" s="165"/>
      <c r="W623" s="451">
        <v>0</v>
      </c>
      <c r="X623" s="366">
        <v>1000000000</v>
      </c>
      <c r="Y623" s="366">
        <v>500000000</v>
      </c>
    </row>
    <row r="624" spans="1:25" ht="25.5">
      <c r="A624" s="162"/>
      <c r="B624" s="179"/>
      <c r="C624" s="179"/>
      <c r="D624" s="179"/>
      <c r="E624" s="179"/>
      <c r="F624" s="179"/>
      <c r="G624" s="179"/>
      <c r="H624" s="179"/>
      <c r="I624" s="179"/>
      <c r="J624" s="179"/>
      <c r="K624" s="179"/>
      <c r="L624" s="179"/>
      <c r="M624" s="179"/>
      <c r="N624" s="179"/>
      <c r="O624" s="179"/>
      <c r="P624" s="179"/>
      <c r="Q624" s="179"/>
      <c r="R624" s="179"/>
      <c r="S624" s="180"/>
      <c r="T624" s="179"/>
      <c r="U624" s="368" t="s">
        <v>2396</v>
      </c>
      <c r="V624" s="165"/>
      <c r="W624" s="451">
        <v>0</v>
      </c>
      <c r="X624" s="366">
        <v>320000000</v>
      </c>
      <c r="Y624" s="366">
        <v>150000000</v>
      </c>
    </row>
    <row r="625" spans="1:25" ht="25.5">
      <c r="A625" s="162"/>
      <c r="B625" s="179"/>
      <c r="C625" s="179"/>
      <c r="D625" s="179"/>
      <c r="E625" s="179"/>
      <c r="F625" s="179"/>
      <c r="G625" s="179"/>
      <c r="H625" s="179"/>
      <c r="I625" s="179"/>
      <c r="J625" s="179"/>
      <c r="K625" s="179"/>
      <c r="L625" s="179"/>
      <c r="M625" s="179"/>
      <c r="N625" s="179"/>
      <c r="O625" s="179"/>
      <c r="P625" s="179"/>
      <c r="Q625" s="179"/>
      <c r="R625" s="179"/>
      <c r="S625" s="180"/>
      <c r="T625" s="179"/>
      <c r="U625" s="368" t="s">
        <v>2397</v>
      </c>
      <c r="V625" s="165"/>
      <c r="W625" s="451">
        <v>0</v>
      </c>
      <c r="X625" s="366">
        <v>200000000</v>
      </c>
      <c r="Y625" s="366">
        <v>150000000</v>
      </c>
    </row>
    <row r="626" spans="1:25" ht="38.25">
      <c r="A626" s="162"/>
      <c r="B626" s="179"/>
      <c r="C626" s="179"/>
      <c r="D626" s="179"/>
      <c r="E626" s="179"/>
      <c r="F626" s="179"/>
      <c r="G626" s="179"/>
      <c r="H626" s="179"/>
      <c r="I626" s="179"/>
      <c r="J626" s="179"/>
      <c r="K626" s="179"/>
      <c r="L626" s="179"/>
      <c r="M626" s="179"/>
      <c r="N626" s="179"/>
      <c r="O626" s="179"/>
      <c r="P626" s="179"/>
      <c r="Q626" s="179"/>
      <c r="R626" s="179"/>
      <c r="S626" s="180"/>
      <c r="T626" s="179"/>
      <c r="U626" s="368" t="s">
        <v>2398</v>
      </c>
      <c r="V626" s="165"/>
      <c r="W626" s="451">
        <v>0</v>
      </c>
      <c r="X626" s="366">
        <v>150000000</v>
      </c>
      <c r="Y626" s="366">
        <v>100000000</v>
      </c>
    </row>
    <row r="627" spans="1:25" ht="25.5">
      <c r="A627" s="162"/>
      <c r="B627" s="179"/>
      <c r="C627" s="179"/>
      <c r="D627" s="179"/>
      <c r="E627" s="179"/>
      <c r="F627" s="179"/>
      <c r="G627" s="179"/>
      <c r="H627" s="179"/>
      <c r="I627" s="179"/>
      <c r="J627" s="179"/>
      <c r="K627" s="179"/>
      <c r="L627" s="179"/>
      <c r="M627" s="179"/>
      <c r="N627" s="179"/>
      <c r="O627" s="179"/>
      <c r="P627" s="179"/>
      <c r="Q627" s="179"/>
      <c r="R627" s="179"/>
      <c r="S627" s="180"/>
      <c r="T627" s="179"/>
      <c r="U627" s="368" t="s">
        <v>2399</v>
      </c>
      <c r="V627" s="165"/>
      <c r="W627" s="451">
        <v>0</v>
      </c>
      <c r="X627" s="366">
        <v>100000000</v>
      </c>
      <c r="Y627" s="366">
        <v>50000000</v>
      </c>
    </row>
    <row r="628" spans="1:25" ht="25.5">
      <c r="A628" s="162"/>
      <c r="B628" s="179"/>
      <c r="C628" s="179"/>
      <c r="D628" s="179"/>
      <c r="E628" s="179"/>
      <c r="F628" s="179"/>
      <c r="G628" s="179"/>
      <c r="H628" s="179"/>
      <c r="I628" s="179"/>
      <c r="J628" s="179"/>
      <c r="K628" s="179"/>
      <c r="L628" s="179"/>
      <c r="M628" s="179"/>
      <c r="N628" s="179"/>
      <c r="O628" s="179"/>
      <c r="P628" s="179"/>
      <c r="Q628" s="179"/>
      <c r="R628" s="179"/>
      <c r="S628" s="180"/>
      <c r="T628" s="179"/>
      <c r="U628" s="368" t="s">
        <v>2400</v>
      </c>
      <c r="V628" s="165"/>
      <c r="W628" s="451">
        <v>0</v>
      </c>
      <c r="X628" s="366">
        <v>100000000</v>
      </c>
      <c r="Y628" s="366">
        <v>100000000</v>
      </c>
    </row>
    <row r="629" spans="1:25">
      <c r="A629" s="162"/>
      <c r="B629" s="179"/>
      <c r="C629" s="179"/>
      <c r="D629" s="179"/>
      <c r="E629" s="179"/>
      <c r="F629" s="179"/>
      <c r="G629" s="179"/>
      <c r="H629" s="179"/>
      <c r="I629" s="179"/>
      <c r="J629" s="179"/>
      <c r="K629" s="179"/>
      <c r="L629" s="179"/>
      <c r="M629" s="179"/>
      <c r="N629" s="179"/>
      <c r="O629" s="179"/>
      <c r="P629" s="179"/>
      <c r="Q629" s="179"/>
      <c r="R629" s="179"/>
      <c r="S629" s="180"/>
      <c r="T629" s="179"/>
      <c r="U629" s="178" t="s">
        <v>1324</v>
      </c>
      <c r="V629" s="165"/>
      <c r="W629" s="451">
        <v>0</v>
      </c>
      <c r="X629" s="283">
        <v>50452050</v>
      </c>
      <c r="Y629" s="370"/>
    </row>
    <row r="630" spans="1:25" ht="25.5">
      <c r="A630" s="162"/>
      <c r="B630" s="179"/>
      <c r="C630" s="179"/>
      <c r="D630" s="179"/>
      <c r="E630" s="179"/>
      <c r="F630" s="179"/>
      <c r="G630" s="179"/>
      <c r="H630" s="179"/>
      <c r="I630" s="179"/>
      <c r="J630" s="179"/>
      <c r="K630" s="179"/>
      <c r="L630" s="179"/>
      <c r="M630" s="179"/>
      <c r="N630" s="179"/>
      <c r="O630" s="179"/>
      <c r="P630" s="179"/>
      <c r="Q630" s="179"/>
      <c r="R630" s="179"/>
      <c r="S630" s="180"/>
      <c r="T630" s="179"/>
      <c r="U630" s="178" t="s">
        <v>2386</v>
      </c>
      <c r="V630" s="165"/>
      <c r="W630" s="451">
        <v>0</v>
      </c>
      <c r="X630" s="283">
        <v>150452050</v>
      </c>
      <c r="Y630" s="370"/>
    </row>
    <row r="631" spans="1:25">
      <c r="A631" s="162"/>
      <c r="B631" s="179"/>
      <c r="C631" s="179"/>
      <c r="D631" s="179"/>
      <c r="E631" s="179"/>
      <c r="F631" s="179"/>
      <c r="G631" s="179"/>
      <c r="H631" s="179"/>
      <c r="I631" s="179"/>
      <c r="J631" s="179"/>
      <c r="K631" s="179"/>
      <c r="L631" s="179"/>
      <c r="M631" s="179"/>
      <c r="N631" s="179"/>
      <c r="O631" s="179"/>
      <c r="P631" s="179"/>
      <c r="Q631" s="179"/>
      <c r="R631" s="179"/>
      <c r="S631" s="180"/>
      <c r="T631" s="179"/>
      <c r="U631" s="178" t="s">
        <v>2387</v>
      </c>
      <c r="V631" s="165"/>
      <c r="W631" s="451">
        <v>0</v>
      </c>
      <c r="X631" s="283">
        <v>70452050</v>
      </c>
      <c r="Y631" s="370"/>
    </row>
    <row r="632" spans="1:25" ht="25.5">
      <c r="A632" s="162"/>
      <c r="B632" s="179"/>
      <c r="C632" s="179"/>
      <c r="D632" s="179"/>
      <c r="E632" s="179"/>
      <c r="F632" s="179"/>
      <c r="G632" s="179"/>
      <c r="H632" s="179"/>
      <c r="I632" s="179"/>
      <c r="J632" s="179"/>
      <c r="K632" s="179"/>
      <c r="L632" s="179"/>
      <c r="M632" s="179"/>
      <c r="N632" s="179"/>
      <c r="O632" s="179"/>
      <c r="P632" s="179"/>
      <c r="Q632" s="179"/>
      <c r="R632" s="179"/>
      <c r="S632" s="180"/>
      <c r="T632" s="179"/>
      <c r="U632" s="178" t="s">
        <v>1325</v>
      </c>
      <c r="V632" s="165"/>
      <c r="W632" s="451">
        <v>0</v>
      </c>
      <c r="X632" s="283">
        <v>150452050</v>
      </c>
      <c r="Y632" s="370"/>
    </row>
    <row r="633" spans="1:25" ht="38.25">
      <c r="A633" s="162"/>
      <c r="B633" s="179"/>
      <c r="C633" s="179"/>
      <c r="D633" s="179"/>
      <c r="E633" s="179"/>
      <c r="F633" s="179"/>
      <c r="G633" s="179"/>
      <c r="H633" s="179"/>
      <c r="I633" s="179"/>
      <c r="J633" s="179"/>
      <c r="K633" s="179"/>
      <c r="L633" s="179"/>
      <c r="M633" s="179"/>
      <c r="N633" s="179"/>
      <c r="O633" s="179"/>
      <c r="P633" s="179"/>
      <c r="Q633" s="179"/>
      <c r="R633" s="179"/>
      <c r="S633" s="180"/>
      <c r="T633" s="179"/>
      <c r="U633" s="178" t="s">
        <v>1326</v>
      </c>
      <c r="V633" s="165"/>
      <c r="W633" s="451">
        <v>0</v>
      </c>
      <c r="X633" s="283">
        <v>70452050</v>
      </c>
      <c r="Y633" s="370"/>
    </row>
    <row r="634" spans="1:25">
      <c r="A634" s="162"/>
      <c r="B634" s="179"/>
      <c r="C634" s="179"/>
      <c r="D634" s="179"/>
      <c r="E634" s="179"/>
      <c r="F634" s="179"/>
      <c r="G634" s="179"/>
      <c r="H634" s="179"/>
      <c r="I634" s="179"/>
      <c r="J634" s="179"/>
      <c r="K634" s="179"/>
      <c r="L634" s="179"/>
      <c r="M634" s="179"/>
      <c r="N634" s="179"/>
      <c r="O634" s="179"/>
      <c r="P634" s="179"/>
      <c r="Q634" s="179"/>
      <c r="R634" s="179"/>
      <c r="S634" s="180"/>
      <c r="T634" s="179"/>
      <c r="U634" s="178" t="s">
        <v>1327</v>
      </c>
      <c r="V634" s="165"/>
      <c r="W634" s="451">
        <v>0</v>
      </c>
      <c r="X634" s="283">
        <v>60452050</v>
      </c>
      <c r="Y634" s="370"/>
    </row>
    <row r="635" spans="1:25" s="184" customFormat="1" ht="15">
      <c r="A635" s="193"/>
      <c r="B635" s="182"/>
      <c r="C635" s="182"/>
      <c r="D635" s="182"/>
      <c r="E635" s="182"/>
      <c r="F635" s="182"/>
      <c r="G635" s="182"/>
      <c r="H635" s="182"/>
      <c r="I635" s="182"/>
      <c r="J635" s="182"/>
      <c r="K635" s="182"/>
      <c r="L635" s="182"/>
      <c r="M635" s="182"/>
      <c r="N635" s="182"/>
      <c r="O635" s="182"/>
      <c r="P635" s="182"/>
      <c r="Q635" s="182"/>
      <c r="R635" s="182"/>
      <c r="S635" s="182"/>
      <c r="T635" s="182"/>
      <c r="U635" s="183"/>
      <c r="V635" s="168">
        <f t="shared" ref="V635:Y635" si="111">SUM(V409:V634)</f>
        <v>6954530540.0780029</v>
      </c>
      <c r="W635" s="168">
        <f t="shared" si="111"/>
        <v>2468501307.394999</v>
      </c>
      <c r="X635" s="168">
        <f t="shared" si="111"/>
        <v>4570113550</v>
      </c>
      <c r="Y635" s="371">
        <f t="shared" si="111"/>
        <v>1900000000</v>
      </c>
    </row>
    <row r="636" spans="1:25" ht="15">
      <c r="A636" s="194"/>
    </row>
    <row r="637" spans="1:25" ht="15">
      <c r="A637" s="194"/>
      <c r="U637" s="185" t="s">
        <v>1218</v>
      </c>
    </row>
    <row r="638" spans="1:25" ht="15">
      <c r="A638" s="195"/>
      <c r="U638" s="144" t="s">
        <v>1422</v>
      </c>
      <c r="V638" s="145">
        <v>2112772890.605</v>
      </c>
    </row>
    <row r="639" spans="1:25" ht="15">
      <c r="A639" s="195"/>
      <c r="U639" s="144" t="s">
        <v>1423</v>
      </c>
      <c r="V639" s="145">
        <v>117913819.56999999</v>
      </c>
    </row>
    <row r="640" spans="1:25" ht="15">
      <c r="A640" s="195"/>
      <c r="U640" s="144" t="s">
        <v>1424</v>
      </c>
      <c r="V640" s="145">
        <v>237814597.22</v>
      </c>
    </row>
    <row r="641" spans="1:25" ht="15.75" thickBot="1">
      <c r="A641" s="195"/>
      <c r="V641" s="354">
        <f>SUM(V638:V640)</f>
        <v>2468501307.395</v>
      </c>
    </row>
    <row r="642" spans="1:25" ht="15">
      <c r="A642" s="195"/>
    </row>
    <row r="643" spans="1:25" ht="15">
      <c r="A643" s="195"/>
    </row>
    <row r="644" spans="1:25" ht="15">
      <c r="A644" s="195"/>
    </row>
    <row r="645" spans="1:25" ht="26.25">
      <c r="A645" s="175" t="s">
        <v>1000</v>
      </c>
      <c r="B645" s="176"/>
      <c r="C645" s="176"/>
      <c r="D645" s="176"/>
      <c r="E645" s="176"/>
      <c r="F645" s="176"/>
      <c r="G645" s="176"/>
      <c r="H645" s="176"/>
      <c r="I645" s="176"/>
      <c r="J645" s="176"/>
      <c r="K645" s="176"/>
      <c r="L645" s="176"/>
      <c r="M645" s="176"/>
      <c r="N645" s="176"/>
      <c r="O645" s="176"/>
      <c r="P645" s="176"/>
      <c r="Q645" s="176"/>
      <c r="R645" s="176"/>
      <c r="S645" s="176"/>
      <c r="T645" s="176"/>
      <c r="U645" s="176"/>
      <c r="V645" s="176"/>
      <c r="W645" s="345"/>
      <c r="X645" s="176"/>
      <c r="Y645" s="176"/>
    </row>
    <row r="646" spans="1:25" ht="15">
      <c r="A646" s="193"/>
      <c r="B646" s="163"/>
      <c r="C646" s="163"/>
      <c r="D646" s="163"/>
      <c r="E646" s="163"/>
      <c r="F646" s="163"/>
      <c r="G646" s="163"/>
      <c r="H646" s="163"/>
      <c r="I646" s="163"/>
      <c r="J646" s="163"/>
      <c r="K646" s="163"/>
      <c r="L646" s="163"/>
      <c r="M646" s="163"/>
      <c r="N646" s="163"/>
      <c r="O646" s="163"/>
      <c r="P646" s="163"/>
      <c r="Q646" s="163"/>
      <c r="R646" s="163"/>
      <c r="S646" s="163"/>
      <c r="T646" s="163"/>
      <c r="U646" s="435" t="s">
        <v>2401</v>
      </c>
      <c r="V646" s="165"/>
      <c r="W646" s="451">
        <v>0</v>
      </c>
      <c r="X646" s="282">
        <v>25397000</v>
      </c>
      <c r="Y646" s="282">
        <v>5000000</v>
      </c>
    </row>
    <row r="647" spans="1:25" ht="15">
      <c r="A647" s="193"/>
      <c r="B647" s="163"/>
      <c r="C647" s="163"/>
      <c r="D647" s="163"/>
      <c r="E647" s="163"/>
      <c r="F647" s="163"/>
      <c r="G647" s="163"/>
      <c r="H647" s="163"/>
      <c r="I647" s="163"/>
      <c r="J647" s="163"/>
      <c r="K647" s="163"/>
      <c r="L647" s="163"/>
      <c r="M647" s="163"/>
      <c r="N647" s="163"/>
      <c r="O647" s="163"/>
      <c r="P647" s="163"/>
      <c r="Q647" s="163"/>
      <c r="R647" s="163"/>
      <c r="S647" s="163"/>
      <c r="T647" s="163"/>
      <c r="U647" s="435" t="s">
        <v>2402</v>
      </c>
      <c r="V647" s="165"/>
      <c r="W647" s="451">
        <v>0</v>
      </c>
      <c r="X647" s="282">
        <v>36833017.100000001</v>
      </c>
      <c r="Y647" s="282">
        <v>40516318.810000002</v>
      </c>
    </row>
    <row r="648" spans="1:25" ht="15">
      <c r="A648" s="193"/>
      <c r="B648" s="163"/>
      <c r="C648" s="163"/>
      <c r="D648" s="163"/>
      <c r="E648" s="163"/>
      <c r="F648" s="163"/>
      <c r="G648" s="163"/>
      <c r="H648" s="163"/>
      <c r="I648" s="163"/>
      <c r="J648" s="163"/>
      <c r="K648" s="163"/>
      <c r="L648" s="163"/>
      <c r="M648" s="163"/>
      <c r="N648" s="163"/>
      <c r="O648" s="163"/>
      <c r="P648" s="163"/>
      <c r="Q648" s="163"/>
      <c r="R648" s="163"/>
      <c r="S648" s="163"/>
      <c r="T648" s="163"/>
      <c r="U648" s="435" t="s">
        <v>2403</v>
      </c>
      <c r="V648" s="165"/>
      <c r="W648" s="451">
        <v>0</v>
      </c>
      <c r="X648" s="282">
        <v>44541370.5</v>
      </c>
      <c r="Y648" s="282">
        <v>48995501.549999997</v>
      </c>
    </row>
    <row r="649" spans="1:25" ht="15">
      <c r="A649" s="193"/>
      <c r="B649" s="163"/>
      <c r="C649" s="163"/>
      <c r="D649" s="163"/>
      <c r="E649" s="163"/>
      <c r="F649" s="163"/>
      <c r="G649" s="163"/>
      <c r="H649" s="163"/>
      <c r="I649" s="163"/>
      <c r="J649" s="163"/>
      <c r="K649" s="163"/>
      <c r="L649" s="163"/>
      <c r="M649" s="163"/>
      <c r="N649" s="163"/>
      <c r="O649" s="163"/>
      <c r="P649" s="163"/>
      <c r="Q649" s="163"/>
      <c r="R649" s="163"/>
      <c r="S649" s="163"/>
      <c r="T649" s="163"/>
      <c r="U649" s="435" t="s">
        <v>2404</v>
      </c>
      <c r="V649" s="165"/>
      <c r="W649" s="451">
        <v>0</v>
      </c>
      <c r="X649" s="282">
        <v>39843819.460000001</v>
      </c>
      <c r="Y649" s="282">
        <v>43828201.399999999</v>
      </c>
    </row>
    <row r="650" spans="1:25" ht="15">
      <c r="A650" s="193"/>
      <c r="B650" s="163"/>
      <c r="C650" s="163"/>
      <c r="D650" s="163"/>
      <c r="E650" s="163"/>
      <c r="F650" s="163"/>
      <c r="G650" s="163"/>
      <c r="H650" s="163"/>
      <c r="I650" s="163"/>
      <c r="J650" s="163"/>
      <c r="K650" s="163"/>
      <c r="L650" s="163"/>
      <c r="M650" s="163"/>
      <c r="N650" s="163"/>
      <c r="O650" s="163"/>
      <c r="P650" s="163"/>
      <c r="Q650" s="163"/>
      <c r="R650" s="163"/>
      <c r="S650" s="163"/>
      <c r="T650" s="163"/>
      <c r="U650" s="435" t="s">
        <v>2405</v>
      </c>
      <c r="V650" s="165"/>
      <c r="W650" s="451">
        <v>0</v>
      </c>
      <c r="X650" s="165"/>
      <c r="Y650" s="165"/>
    </row>
    <row r="651" spans="1:25" ht="15">
      <c r="A651" s="193"/>
      <c r="B651" s="163"/>
      <c r="C651" s="163"/>
      <c r="D651" s="163"/>
      <c r="E651" s="163"/>
      <c r="F651" s="163"/>
      <c r="G651" s="163"/>
      <c r="H651" s="163"/>
      <c r="I651" s="163"/>
      <c r="J651" s="163"/>
      <c r="K651" s="163"/>
      <c r="L651" s="163"/>
      <c r="M651" s="163"/>
      <c r="N651" s="163"/>
      <c r="O651" s="163"/>
      <c r="P651" s="163"/>
      <c r="Q651" s="163"/>
      <c r="R651" s="163"/>
      <c r="S651" s="163"/>
      <c r="T651" s="163"/>
      <c r="U651" s="435" t="s">
        <v>2406</v>
      </c>
      <c r="V651" s="165"/>
      <c r="W651" s="451">
        <v>26821685</v>
      </c>
      <c r="X651" s="282">
        <v>26821685</v>
      </c>
      <c r="Y651" s="282">
        <f>-Y655</f>
        <v>0</v>
      </c>
    </row>
    <row r="652" spans="1:25" ht="15">
      <c r="A652" s="193"/>
      <c r="B652" s="163"/>
      <c r="C652" s="163"/>
      <c r="D652" s="163"/>
      <c r="E652" s="163"/>
      <c r="F652" s="163"/>
      <c r="G652" s="163"/>
      <c r="H652" s="163"/>
      <c r="I652" s="163"/>
      <c r="J652" s="163"/>
      <c r="K652" s="163"/>
      <c r="L652" s="163"/>
      <c r="M652" s="163"/>
      <c r="N652" s="163"/>
      <c r="O652" s="163"/>
      <c r="P652" s="163"/>
      <c r="Q652" s="163"/>
      <c r="R652" s="163"/>
      <c r="S652" s="163"/>
      <c r="T652" s="163"/>
      <c r="U652" s="435" t="s">
        <v>2407</v>
      </c>
      <c r="V652" s="165"/>
      <c r="W652" s="451">
        <v>0</v>
      </c>
      <c r="X652" s="282">
        <v>41442406.5</v>
      </c>
      <c r="Y652" s="282">
        <v>0</v>
      </c>
    </row>
    <row r="653" spans="1:25" ht="15">
      <c r="A653" s="193"/>
      <c r="B653" s="163"/>
      <c r="C653" s="163"/>
      <c r="D653" s="163"/>
      <c r="E653" s="163"/>
      <c r="F653" s="163"/>
      <c r="G653" s="163"/>
      <c r="H653" s="163"/>
      <c r="I653" s="163"/>
      <c r="J653" s="163"/>
      <c r="K653" s="163"/>
      <c r="L653" s="163"/>
      <c r="M653" s="163"/>
      <c r="N653" s="163"/>
      <c r="O653" s="163"/>
      <c r="P653" s="163"/>
      <c r="Q653" s="163"/>
      <c r="R653" s="163"/>
      <c r="S653" s="163"/>
      <c r="T653" s="163"/>
      <c r="U653" s="435" t="s">
        <v>2408</v>
      </c>
      <c r="V653" s="165"/>
      <c r="W653" s="451">
        <v>0</v>
      </c>
      <c r="X653" s="282">
        <v>21976790</v>
      </c>
      <c r="Y653" s="282">
        <v>0</v>
      </c>
    </row>
    <row r="654" spans="1:25" ht="15">
      <c r="A654" s="193"/>
      <c r="B654" s="163"/>
      <c r="C654" s="163"/>
      <c r="D654" s="163"/>
      <c r="E654" s="163"/>
      <c r="F654" s="163"/>
      <c r="G654" s="163"/>
      <c r="H654" s="163"/>
      <c r="I654" s="163"/>
      <c r="J654" s="163"/>
      <c r="K654" s="163"/>
      <c r="L654" s="163"/>
      <c r="M654" s="163"/>
      <c r="N654" s="163"/>
      <c r="O654" s="163"/>
      <c r="P654" s="163"/>
      <c r="Q654" s="163"/>
      <c r="R654" s="163"/>
      <c r="S654" s="163"/>
      <c r="T654" s="163"/>
      <c r="U654" s="435" t="s">
        <v>2409</v>
      </c>
      <c r="V654" s="165"/>
      <c r="W654" s="451">
        <v>110352108.34999999</v>
      </c>
      <c r="X654" s="282">
        <v>50027790</v>
      </c>
      <c r="Y654" s="282">
        <v>50000000</v>
      </c>
    </row>
    <row r="655" spans="1:25" ht="15">
      <c r="A655" s="193"/>
      <c r="B655" s="163"/>
      <c r="C655" s="163"/>
      <c r="D655" s="163"/>
      <c r="E655" s="163"/>
      <c r="F655" s="163"/>
      <c r="G655" s="163"/>
      <c r="H655" s="163"/>
      <c r="I655" s="163"/>
      <c r="J655" s="163"/>
      <c r="K655" s="163"/>
      <c r="L655" s="163"/>
      <c r="M655" s="163"/>
      <c r="N655" s="163"/>
      <c r="O655" s="163"/>
      <c r="P655" s="163"/>
      <c r="Q655" s="163"/>
      <c r="R655" s="163"/>
      <c r="S655" s="163"/>
      <c r="T655" s="163"/>
      <c r="U655" s="435" t="s">
        <v>2410</v>
      </c>
      <c r="V655" s="165"/>
      <c r="W655" s="451">
        <v>27826206.649999999</v>
      </c>
      <c r="X655" s="282">
        <v>27826206.649999999</v>
      </c>
      <c r="Y655" s="282">
        <v>0</v>
      </c>
    </row>
    <row r="656" spans="1:25" ht="30">
      <c r="A656" s="193"/>
      <c r="B656" s="163"/>
      <c r="C656" s="163"/>
      <c r="D656" s="163"/>
      <c r="E656" s="163"/>
      <c r="F656" s="163"/>
      <c r="G656" s="163"/>
      <c r="H656" s="163"/>
      <c r="I656" s="163"/>
      <c r="J656" s="163"/>
      <c r="K656" s="163"/>
      <c r="L656" s="163"/>
      <c r="M656" s="163"/>
      <c r="N656" s="163"/>
      <c r="O656" s="163"/>
      <c r="P656" s="163"/>
      <c r="Q656" s="163"/>
      <c r="R656" s="163"/>
      <c r="S656" s="163"/>
      <c r="T656" s="163"/>
      <c r="U656" s="435" t="s">
        <v>2411</v>
      </c>
      <c r="V656" s="165"/>
      <c r="W656" s="451">
        <v>0</v>
      </c>
      <c r="X656" s="165"/>
      <c r="Y656" s="165"/>
    </row>
    <row r="657" spans="1:25" ht="30">
      <c r="A657" s="193"/>
      <c r="B657" s="163"/>
      <c r="C657" s="163"/>
      <c r="D657" s="163"/>
      <c r="E657" s="163"/>
      <c r="F657" s="163"/>
      <c r="G657" s="163"/>
      <c r="H657" s="163"/>
      <c r="I657" s="163"/>
      <c r="J657" s="163"/>
      <c r="K657" s="163"/>
      <c r="L657" s="163"/>
      <c r="M657" s="163"/>
      <c r="N657" s="163"/>
      <c r="O657" s="163"/>
      <c r="P657" s="163"/>
      <c r="Q657" s="163"/>
      <c r="R657" s="163"/>
      <c r="S657" s="163"/>
      <c r="T657" s="163"/>
      <c r="U657" s="435" t="s">
        <v>2412</v>
      </c>
      <c r="V657" s="165"/>
      <c r="W657" s="451">
        <v>0</v>
      </c>
      <c r="X657" s="282">
        <v>40000000</v>
      </c>
      <c r="Y657" s="282">
        <v>20755606.260000002</v>
      </c>
    </row>
    <row r="658" spans="1:25" ht="15">
      <c r="A658" s="193"/>
      <c r="B658" s="163"/>
      <c r="C658" s="163"/>
      <c r="D658" s="163"/>
      <c r="E658" s="163"/>
      <c r="F658" s="163"/>
      <c r="G658" s="163"/>
      <c r="H658" s="163"/>
      <c r="I658" s="163"/>
      <c r="J658" s="163"/>
      <c r="K658" s="163"/>
      <c r="L658" s="163"/>
      <c r="M658" s="163"/>
      <c r="N658" s="163"/>
      <c r="O658" s="163"/>
      <c r="P658" s="163"/>
      <c r="Q658" s="163"/>
      <c r="R658" s="163"/>
      <c r="S658" s="163"/>
      <c r="T658" s="163"/>
      <c r="U658" s="435" t="s">
        <v>2413</v>
      </c>
      <c r="V658" s="165"/>
      <c r="W658" s="451">
        <v>10000000</v>
      </c>
      <c r="X658" s="282">
        <v>15000000</v>
      </c>
      <c r="Y658" s="282">
        <v>0</v>
      </c>
    </row>
    <row r="659" spans="1:25" s="148" customFormat="1" ht="30">
      <c r="A659" s="196"/>
      <c r="B659" s="197"/>
      <c r="C659" s="197"/>
      <c r="D659" s="197"/>
      <c r="E659" s="197"/>
      <c r="F659" s="197"/>
      <c r="G659" s="197"/>
      <c r="H659" s="197"/>
      <c r="I659" s="197"/>
      <c r="J659" s="197"/>
      <c r="K659" s="197"/>
      <c r="L659" s="197"/>
      <c r="M659" s="197"/>
      <c r="N659" s="197"/>
      <c r="O659" s="197"/>
      <c r="P659" s="197"/>
      <c r="Q659" s="197"/>
      <c r="R659" s="197"/>
      <c r="S659" s="198"/>
      <c r="T659" s="198"/>
      <c r="U659" s="199" t="s">
        <v>1425</v>
      </c>
      <c r="V659" s="152">
        <v>1600104168.6500001</v>
      </c>
      <c r="W659" s="451">
        <v>251900000</v>
      </c>
      <c r="X659" s="200"/>
      <c r="Y659" s="200"/>
    </row>
    <row r="660" spans="1:25" s="148" customFormat="1" ht="30">
      <c r="A660" s="196"/>
      <c r="B660" s="197"/>
      <c r="C660" s="197"/>
      <c r="D660" s="197"/>
      <c r="E660" s="197"/>
      <c r="F660" s="197"/>
      <c r="G660" s="197"/>
      <c r="H660" s="197"/>
      <c r="I660" s="197"/>
      <c r="J660" s="197"/>
      <c r="K660" s="197"/>
      <c r="L660" s="197"/>
      <c r="M660" s="197"/>
      <c r="N660" s="197"/>
      <c r="O660" s="197"/>
      <c r="P660" s="197"/>
      <c r="Q660" s="197"/>
      <c r="R660" s="197"/>
      <c r="S660" s="198"/>
      <c r="T660" s="198"/>
      <c r="U660" s="199" t="s">
        <v>1426</v>
      </c>
      <c r="V660" s="152">
        <v>68889138.989999995</v>
      </c>
      <c r="W660" s="451">
        <v>31725692.23</v>
      </c>
      <c r="X660" s="200"/>
      <c r="Y660" s="200"/>
    </row>
    <row r="661" spans="1:25" s="148" customFormat="1" ht="30">
      <c r="A661" s="196"/>
      <c r="B661" s="197"/>
      <c r="C661" s="197"/>
      <c r="D661" s="197"/>
      <c r="E661" s="197"/>
      <c r="F661" s="197"/>
      <c r="G661" s="197"/>
      <c r="H661" s="197"/>
      <c r="I661" s="197"/>
      <c r="J661" s="197"/>
      <c r="K661" s="197"/>
      <c r="L661" s="197"/>
      <c r="M661" s="197"/>
      <c r="N661" s="197"/>
      <c r="O661" s="197"/>
      <c r="P661" s="197"/>
      <c r="Q661" s="197"/>
      <c r="R661" s="197"/>
      <c r="S661" s="198"/>
      <c r="T661" s="198"/>
      <c r="U661" s="199" t="s">
        <v>1427</v>
      </c>
      <c r="V661" s="152">
        <v>492505333.52999997</v>
      </c>
      <c r="W661" s="451">
        <v>90286652.790000007</v>
      </c>
      <c r="X661" s="200"/>
      <c r="Y661" s="200"/>
    </row>
    <row r="662" spans="1:25" s="148" customFormat="1" ht="15">
      <c r="A662" s="196"/>
      <c r="B662" s="197"/>
      <c r="C662" s="197"/>
      <c r="D662" s="197"/>
      <c r="E662" s="197"/>
      <c r="F662" s="197"/>
      <c r="G662" s="197"/>
      <c r="H662" s="197"/>
      <c r="I662" s="197"/>
      <c r="J662" s="197"/>
      <c r="K662" s="197"/>
      <c r="L662" s="197"/>
      <c r="M662" s="197"/>
      <c r="N662" s="197"/>
      <c r="O662" s="197"/>
      <c r="P662" s="197"/>
      <c r="Q662" s="197"/>
      <c r="R662" s="197"/>
      <c r="S662" s="198"/>
      <c r="T662" s="198"/>
      <c r="U662" s="332" t="s">
        <v>2414</v>
      </c>
      <c r="V662" s="152"/>
      <c r="W662" s="451">
        <v>0</v>
      </c>
      <c r="X662" s="282">
        <v>51562000</v>
      </c>
      <c r="Y662" s="282">
        <v>23333345</v>
      </c>
    </row>
    <row r="663" spans="1:25" s="184" customFormat="1" ht="15">
      <c r="A663" s="193"/>
      <c r="B663" s="182"/>
      <c r="C663" s="182"/>
      <c r="D663" s="182"/>
      <c r="E663" s="182"/>
      <c r="F663" s="182"/>
      <c r="G663" s="182"/>
      <c r="H663" s="182"/>
      <c r="I663" s="182"/>
      <c r="J663" s="182"/>
      <c r="K663" s="182"/>
      <c r="L663" s="182"/>
      <c r="M663" s="182"/>
      <c r="N663" s="182"/>
      <c r="O663" s="182"/>
      <c r="P663" s="182"/>
      <c r="Q663" s="182"/>
      <c r="R663" s="182"/>
      <c r="S663" s="182"/>
      <c r="T663" s="182"/>
      <c r="U663" s="183"/>
      <c r="V663" s="168">
        <f>SUM(V646:V662)</f>
        <v>2161498641.1700001</v>
      </c>
      <c r="W663" s="334">
        <f t="shared" ref="W663:Y663" si="112">SUM(W646:W662)</f>
        <v>548912345.01999998</v>
      </c>
      <c r="X663" s="168">
        <f t="shared" si="112"/>
        <v>421272085.20999998</v>
      </c>
      <c r="Y663" s="168">
        <f t="shared" si="112"/>
        <v>232428973.01999998</v>
      </c>
    </row>
    <row r="664" spans="1:25" ht="15">
      <c r="A664" s="194"/>
    </row>
    <row r="665" spans="1:25" ht="15">
      <c r="A665" s="194"/>
      <c r="U665" s="185" t="s">
        <v>1218</v>
      </c>
    </row>
    <row r="666" spans="1:25" ht="15">
      <c r="A666" s="194"/>
      <c r="U666" s="185" t="s">
        <v>1428</v>
      </c>
      <c r="V666" s="143"/>
    </row>
    <row r="667" spans="1:25" ht="15">
      <c r="A667" s="194"/>
      <c r="U667" s="144" t="s">
        <v>1429</v>
      </c>
      <c r="V667" s="145">
        <v>251900000</v>
      </c>
    </row>
    <row r="668" spans="1:25" ht="15">
      <c r="A668" s="194"/>
      <c r="U668" s="185" t="s">
        <v>1430</v>
      </c>
      <c r="V668" s="145">
        <v>0</v>
      </c>
    </row>
    <row r="669" spans="1:25" ht="15">
      <c r="A669" s="194"/>
      <c r="U669" s="144" t="s">
        <v>1431</v>
      </c>
      <c r="V669" s="145">
        <v>31725692.225000001</v>
      </c>
    </row>
    <row r="670" spans="1:25" ht="15">
      <c r="A670" s="194"/>
      <c r="U670" s="144" t="s">
        <v>1432</v>
      </c>
      <c r="V670" s="145">
        <v>90286652.790000007</v>
      </c>
    </row>
    <row r="671" spans="1:25" ht="15.75" thickBot="1">
      <c r="A671" s="194"/>
      <c r="V671" s="354">
        <f>SUM(V667:V670)</f>
        <v>373912345.01500005</v>
      </c>
    </row>
    <row r="672" spans="1:25" ht="15">
      <c r="A672" s="194"/>
    </row>
    <row r="673" spans="1:25" ht="15">
      <c r="A673" s="194"/>
    </row>
    <row r="676" spans="1:25" ht="26.25">
      <c r="A676" s="175" t="s">
        <v>129</v>
      </c>
      <c r="B676" s="176"/>
      <c r="C676" s="176"/>
      <c r="D676" s="176"/>
      <c r="E676" s="176"/>
      <c r="F676" s="176"/>
      <c r="G676" s="176"/>
      <c r="H676" s="176"/>
      <c r="I676" s="176"/>
      <c r="J676" s="176"/>
      <c r="K676" s="176"/>
      <c r="L676" s="176"/>
      <c r="M676" s="176"/>
      <c r="N676" s="176"/>
      <c r="O676" s="176"/>
      <c r="P676" s="176"/>
      <c r="Q676" s="176"/>
      <c r="R676" s="176"/>
      <c r="S676" s="176"/>
      <c r="T676" s="176"/>
      <c r="U676" s="176"/>
      <c r="V676" s="176"/>
      <c r="W676" s="345"/>
      <c r="X676" s="176"/>
      <c r="Y676" s="176"/>
    </row>
    <row r="677" spans="1:25" ht="15">
      <c r="A677" s="162"/>
      <c r="B677" s="163"/>
      <c r="C677" s="163"/>
      <c r="D677" s="163"/>
      <c r="E677" s="163"/>
      <c r="F677" s="163"/>
      <c r="G677" s="163"/>
      <c r="H677" s="163"/>
      <c r="I677" s="163"/>
      <c r="J677" s="163"/>
      <c r="K677" s="163"/>
      <c r="L677" s="163"/>
      <c r="M677" s="163"/>
      <c r="N677" s="163"/>
      <c r="O677" s="163"/>
      <c r="P677" s="163"/>
      <c r="Q677" s="163"/>
      <c r="R677" s="163"/>
      <c r="S677" s="163"/>
      <c r="T677" s="163"/>
      <c r="U677" s="178" t="s">
        <v>2415</v>
      </c>
      <c r="V677" s="165">
        <v>50000000</v>
      </c>
      <c r="W677" s="451">
        <v>20000000</v>
      </c>
      <c r="X677" s="372">
        <v>24000000</v>
      </c>
      <c r="Y677" s="136">
        <v>28000000</v>
      </c>
    </row>
    <row r="678" spans="1:25">
      <c r="A678" s="162"/>
      <c r="B678" s="163"/>
      <c r="C678" s="163"/>
      <c r="D678" s="163"/>
      <c r="E678" s="163"/>
      <c r="F678" s="163"/>
      <c r="G678" s="163"/>
      <c r="H678" s="163"/>
      <c r="I678" s="163"/>
      <c r="J678" s="163"/>
      <c r="K678" s="163"/>
      <c r="L678" s="163"/>
      <c r="M678" s="163"/>
      <c r="N678" s="163"/>
      <c r="O678" s="163"/>
      <c r="P678" s="163"/>
      <c r="Q678" s="163"/>
      <c r="R678" s="163"/>
      <c r="S678" s="163"/>
      <c r="T678" s="163"/>
      <c r="U678" s="178" t="s">
        <v>1891</v>
      </c>
      <c r="V678" s="165">
        <v>10000000</v>
      </c>
      <c r="W678" s="451">
        <v>10000000</v>
      </c>
      <c r="X678" s="165"/>
      <c r="Y678" s="165"/>
    </row>
    <row r="679" spans="1:25">
      <c r="A679" s="162"/>
      <c r="B679" s="163"/>
      <c r="C679" s="163"/>
      <c r="D679" s="163"/>
      <c r="E679" s="163"/>
      <c r="F679" s="163"/>
      <c r="G679" s="163"/>
      <c r="H679" s="163"/>
      <c r="I679" s="163"/>
      <c r="J679" s="163"/>
      <c r="K679" s="163"/>
      <c r="L679" s="163"/>
      <c r="M679" s="163"/>
      <c r="N679" s="163"/>
      <c r="O679" s="163"/>
      <c r="P679" s="163"/>
      <c r="Q679" s="163"/>
      <c r="R679" s="163"/>
      <c r="S679" s="163"/>
      <c r="T679" s="163"/>
      <c r="U679" s="178" t="s">
        <v>2416</v>
      </c>
      <c r="V679" s="165">
        <v>2500000</v>
      </c>
      <c r="W679" s="451">
        <v>4300000</v>
      </c>
      <c r="X679" s="165"/>
      <c r="Y679" s="165"/>
    </row>
    <row r="680" spans="1:25">
      <c r="A680" s="162"/>
      <c r="B680" s="163"/>
      <c r="C680" s="163"/>
      <c r="D680" s="163"/>
      <c r="E680" s="163"/>
      <c r="F680" s="163"/>
      <c r="G680" s="163"/>
      <c r="H680" s="163"/>
      <c r="I680" s="163"/>
      <c r="J680" s="163"/>
      <c r="K680" s="163"/>
      <c r="L680" s="163"/>
      <c r="M680" s="163"/>
      <c r="N680" s="163"/>
      <c r="O680" s="163"/>
      <c r="P680" s="163"/>
      <c r="Q680" s="163"/>
      <c r="R680" s="163"/>
      <c r="S680" s="163"/>
      <c r="T680" s="163"/>
      <c r="U680" s="178" t="s">
        <v>1433</v>
      </c>
      <c r="V680" s="165">
        <v>6078500</v>
      </c>
      <c r="W680" s="451">
        <v>0</v>
      </c>
      <c r="X680" s="165"/>
      <c r="Y680" s="165"/>
    </row>
    <row r="681" spans="1:25">
      <c r="A681" s="162"/>
      <c r="B681" s="163"/>
      <c r="C681" s="163"/>
      <c r="D681" s="163"/>
      <c r="E681" s="163"/>
      <c r="F681" s="163"/>
      <c r="G681" s="163"/>
      <c r="H681" s="163"/>
      <c r="I681" s="163"/>
      <c r="J681" s="163"/>
      <c r="K681" s="163"/>
      <c r="L681" s="163"/>
      <c r="M681" s="163"/>
      <c r="N681" s="163"/>
      <c r="O681" s="163"/>
      <c r="P681" s="163"/>
      <c r="Q681" s="163"/>
      <c r="R681" s="163"/>
      <c r="S681" s="163"/>
      <c r="T681" s="163"/>
      <c r="U681" s="178" t="s">
        <v>2174</v>
      </c>
      <c r="V681" s="165"/>
      <c r="W681" s="451">
        <v>250000000</v>
      </c>
      <c r="X681" s="349">
        <v>250000000</v>
      </c>
      <c r="Y681" s="284">
        <v>250000000</v>
      </c>
    </row>
    <row r="682" spans="1:25" s="184" customFormat="1">
      <c r="A682" s="181"/>
      <c r="B682" s="182"/>
      <c r="C682" s="182"/>
      <c r="D682" s="182"/>
      <c r="E682" s="182"/>
      <c r="F682" s="182"/>
      <c r="G682" s="182"/>
      <c r="H682" s="182"/>
      <c r="I682" s="182"/>
      <c r="J682" s="182"/>
      <c r="K682" s="182"/>
      <c r="L682" s="182"/>
      <c r="M682" s="182"/>
      <c r="N682" s="182"/>
      <c r="O682" s="182"/>
      <c r="P682" s="182"/>
      <c r="Q682" s="182"/>
      <c r="R682" s="182"/>
      <c r="S682" s="182"/>
      <c r="T682" s="182"/>
      <c r="U682" s="183"/>
      <c r="V682" s="168">
        <f>SUM(V677:V680)</f>
        <v>68578500</v>
      </c>
      <c r="W682" s="334">
        <f t="shared" ref="W682" si="113">SUM(W677:W681)</f>
        <v>284300000</v>
      </c>
      <c r="X682" s="334">
        <f>SUM(X677:X681)</f>
        <v>274000000</v>
      </c>
      <c r="Y682" s="334">
        <f>SUM(Y677:Y681)</f>
        <v>278000000</v>
      </c>
    </row>
    <row r="683" spans="1:25">
      <c r="U683" s="185" t="s">
        <v>1608</v>
      </c>
    </row>
    <row r="684" spans="1:25">
      <c r="U684" s="144" t="s">
        <v>2181</v>
      </c>
      <c r="V684" s="262">
        <v>284300000</v>
      </c>
    </row>
    <row r="685" spans="1:25">
      <c r="V685" s="262"/>
    </row>
    <row r="686" spans="1:25">
      <c r="V686" s="262"/>
    </row>
    <row r="687" spans="1:25">
      <c r="V687" s="262"/>
    </row>
    <row r="688" spans="1:25">
      <c r="V688" s="262"/>
    </row>
    <row r="689" spans="1:25">
      <c r="V689" s="262"/>
    </row>
    <row r="690" spans="1:25" s="148" customFormat="1" ht="26.25">
      <c r="A690" s="175" t="s">
        <v>128</v>
      </c>
      <c r="B690" s="176"/>
      <c r="C690" s="176"/>
      <c r="D690" s="176"/>
      <c r="E690" s="176"/>
      <c r="F690" s="176"/>
      <c r="G690" s="176"/>
      <c r="H690" s="176"/>
      <c r="I690" s="176"/>
      <c r="J690" s="176"/>
      <c r="K690" s="176"/>
      <c r="L690" s="176"/>
      <c r="M690" s="176"/>
      <c r="N690" s="176"/>
      <c r="O690" s="176"/>
      <c r="P690" s="176"/>
      <c r="Q690" s="176"/>
      <c r="R690" s="176"/>
      <c r="S690" s="176"/>
      <c r="T690" s="176"/>
      <c r="U690" s="176"/>
      <c r="V690" s="176"/>
      <c r="W690" s="345"/>
      <c r="X690" s="176"/>
      <c r="Y690" s="176"/>
    </row>
    <row r="691" spans="1:25" s="148" customFormat="1" ht="15">
      <c r="A691" s="196"/>
      <c r="B691" s="197"/>
      <c r="C691" s="197"/>
      <c r="D691" s="197"/>
      <c r="E691" s="197"/>
      <c r="F691" s="197"/>
      <c r="G691" s="197"/>
      <c r="H691" s="197"/>
      <c r="I691" s="197"/>
      <c r="J691" s="197"/>
      <c r="K691" s="197"/>
      <c r="L691" s="197"/>
      <c r="M691" s="197"/>
      <c r="N691" s="197"/>
      <c r="O691" s="197"/>
      <c r="P691" s="197"/>
      <c r="Q691" s="197"/>
      <c r="R691" s="197"/>
      <c r="S691" s="198"/>
      <c r="T691" s="198"/>
      <c r="U691" s="199" t="s">
        <v>1434</v>
      </c>
      <c r="V691" s="152">
        <v>500000</v>
      </c>
      <c r="W691" s="451">
        <v>0</v>
      </c>
      <c r="X691" s="200"/>
      <c r="Y691" s="200"/>
    </row>
    <row r="692" spans="1:25" s="148" customFormat="1" ht="15">
      <c r="A692" s="196"/>
      <c r="B692" s="197"/>
      <c r="C692" s="197"/>
      <c r="D692" s="197"/>
      <c r="E692" s="197"/>
      <c r="F692" s="197"/>
      <c r="G692" s="197"/>
      <c r="H692" s="197"/>
      <c r="I692" s="197"/>
      <c r="J692" s="197"/>
      <c r="K692" s="197"/>
      <c r="L692" s="197"/>
      <c r="M692" s="197"/>
      <c r="N692" s="197"/>
      <c r="O692" s="197"/>
      <c r="P692" s="197"/>
      <c r="Q692" s="197"/>
      <c r="R692" s="197"/>
      <c r="S692" s="198"/>
      <c r="T692" s="198"/>
      <c r="U692" s="199" t="s">
        <v>1435</v>
      </c>
      <c r="V692" s="152">
        <v>600000</v>
      </c>
      <c r="W692" s="451">
        <v>0</v>
      </c>
      <c r="X692" s="200"/>
      <c r="Y692" s="200"/>
    </row>
    <row r="693" spans="1:25" s="148" customFormat="1" ht="15">
      <c r="A693" s="196"/>
      <c r="B693" s="197"/>
      <c r="C693" s="197"/>
      <c r="D693" s="197"/>
      <c r="E693" s="197"/>
      <c r="F693" s="197"/>
      <c r="G693" s="197"/>
      <c r="H693" s="197"/>
      <c r="I693" s="197"/>
      <c r="J693" s="197"/>
      <c r="K693" s="197"/>
      <c r="L693" s="197"/>
      <c r="M693" s="197"/>
      <c r="N693" s="197"/>
      <c r="O693" s="197"/>
      <c r="P693" s="197"/>
      <c r="Q693" s="197"/>
      <c r="R693" s="197"/>
      <c r="S693" s="198"/>
      <c r="T693" s="198"/>
      <c r="U693" s="199" t="s">
        <v>1436</v>
      </c>
      <c r="V693" s="152">
        <v>500000</v>
      </c>
      <c r="W693" s="451">
        <v>0</v>
      </c>
      <c r="X693" s="200"/>
      <c r="Y693" s="200"/>
    </row>
    <row r="694" spans="1:25" s="148" customFormat="1" ht="15">
      <c r="A694" s="196"/>
      <c r="B694" s="197"/>
      <c r="C694" s="197"/>
      <c r="D694" s="197"/>
      <c r="E694" s="197"/>
      <c r="F694" s="197"/>
      <c r="G694" s="197"/>
      <c r="H694" s="197"/>
      <c r="I694" s="197"/>
      <c r="J694" s="197"/>
      <c r="K694" s="197"/>
      <c r="L694" s="197"/>
      <c r="M694" s="197"/>
      <c r="N694" s="197"/>
      <c r="O694" s="197"/>
      <c r="P694" s="197"/>
      <c r="Q694" s="197"/>
      <c r="R694" s="197"/>
      <c r="S694" s="198"/>
      <c r="T694" s="198"/>
      <c r="U694" s="199" t="s">
        <v>1437</v>
      </c>
      <c r="V694" s="152">
        <v>200000</v>
      </c>
      <c r="W694" s="451">
        <v>0</v>
      </c>
      <c r="X694" s="200"/>
      <c r="Y694" s="200"/>
    </row>
    <row r="695" spans="1:25" s="148" customFormat="1" ht="15">
      <c r="A695" s="196"/>
      <c r="B695" s="197"/>
      <c r="C695" s="197"/>
      <c r="D695" s="197"/>
      <c r="E695" s="197"/>
      <c r="F695" s="197"/>
      <c r="G695" s="197"/>
      <c r="H695" s="197"/>
      <c r="I695" s="197"/>
      <c r="J695" s="197"/>
      <c r="K695" s="197"/>
      <c r="L695" s="197"/>
      <c r="M695" s="197"/>
      <c r="N695" s="197"/>
      <c r="O695" s="197"/>
      <c r="P695" s="197"/>
      <c r="Q695" s="197"/>
      <c r="R695" s="197"/>
      <c r="S695" s="198"/>
      <c r="T695" s="198"/>
      <c r="U695" s="199" t="s">
        <v>1892</v>
      </c>
      <c r="V695" s="152">
        <v>1000000</v>
      </c>
      <c r="W695" s="451">
        <v>0</v>
      </c>
      <c r="X695" s="200"/>
      <c r="Y695" s="200"/>
    </row>
    <row r="696" spans="1:25" s="148" customFormat="1" ht="30">
      <c r="A696" s="196"/>
      <c r="B696" s="197"/>
      <c r="C696" s="197"/>
      <c r="D696" s="197"/>
      <c r="E696" s="197"/>
      <c r="F696" s="197"/>
      <c r="G696" s="197"/>
      <c r="H696" s="197"/>
      <c r="I696" s="197"/>
      <c r="J696" s="197"/>
      <c r="K696" s="197"/>
      <c r="L696" s="197"/>
      <c r="M696" s="197"/>
      <c r="N696" s="197"/>
      <c r="O696" s="197"/>
      <c r="P696" s="197"/>
      <c r="Q696" s="197"/>
      <c r="R696" s="197"/>
      <c r="S696" s="198"/>
      <c r="T696" s="198"/>
      <c r="U696" s="199" t="s">
        <v>2417</v>
      </c>
      <c r="V696" s="152"/>
      <c r="W696" s="451">
        <v>0</v>
      </c>
      <c r="X696" s="165">
        <v>1368000</v>
      </c>
      <c r="Y696" s="284">
        <v>1505000</v>
      </c>
    </row>
    <row r="697" spans="1:25" s="148" customFormat="1" ht="30">
      <c r="A697" s="196"/>
      <c r="B697" s="197"/>
      <c r="C697" s="197"/>
      <c r="D697" s="197"/>
      <c r="E697" s="197"/>
      <c r="F697" s="197"/>
      <c r="G697" s="197"/>
      <c r="H697" s="197"/>
      <c r="I697" s="197"/>
      <c r="J697" s="197"/>
      <c r="K697" s="197"/>
      <c r="L697" s="197"/>
      <c r="M697" s="197"/>
      <c r="N697" s="197"/>
      <c r="O697" s="197"/>
      <c r="P697" s="197"/>
      <c r="Q697" s="197"/>
      <c r="R697" s="197"/>
      <c r="S697" s="198"/>
      <c r="T697" s="198"/>
      <c r="U697" s="199" t="s">
        <v>2418</v>
      </c>
      <c r="V697" s="152"/>
      <c r="W697" s="451">
        <v>0</v>
      </c>
      <c r="X697" s="165">
        <v>1463000</v>
      </c>
      <c r="Y697" s="284">
        <v>1609000</v>
      </c>
    </row>
    <row r="698" spans="1:25" s="202" customFormat="1" ht="15">
      <c r="A698" s="193" t="s">
        <v>1438</v>
      </c>
      <c r="B698" s="201"/>
      <c r="C698" s="201"/>
      <c r="D698" s="201"/>
      <c r="E698" s="201"/>
      <c r="F698" s="201"/>
      <c r="G698" s="201"/>
      <c r="H698" s="201"/>
      <c r="I698" s="201"/>
      <c r="J698" s="201"/>
      <c r="K698" s="201"/>
      <c r="L698" s="201"/>
      <c r="M698" s="201"/>
      <c r="N698" s="201"/>
      <c r="O698" s="201"/>
      <c r="P698" s="201"/>
      <c r="Q698" s="201"/>
      <c r="R698" s="201"/>
      <c r="S698" s="201"/>
      <c r="T698" s="201"/>
      <c r="U698" s="199"/>
      <c r="V698" s="157">
        <f>SUM(V691:V697)</f>
        <v>2800000</v>
      </c>
      <c r="W698" s="157">
        <f t="shared" ref="W698:Y698" si="114">SUM(W691:W697)</f>
        <v>0</v>
      </c>
      <c r="X698" s="157">
        <f t="shared" si="114"/>
        <v>2831000</v>
      </c>
      <c r="Y698" s="157">
        <f t="shared" si="114"/>
        <v>3114000</v>
      </c>
    </row>
    <row r="701" spans="1:25" ht="26.25">
      <c r="A701" s="175" t="s">
        <v>127</v>
      </c>
      <c r="B701" s="176"/>
      <c r="C701" s="176"/>
      <c r="D701" s="176"/>
      <c r="E701" s="176"/>
      <c r="F701" s="176"/>
      <c r="G701" s="176"/>
      <c r="H701" s="176"/>
      <c r="I701" s="176"/>
      <c r="J701" s="176"/>
      <c r="K701" s="176"/>
      <c r="L701" s="176"/>
      <c r="M701" s="176"/>
      <c r="N701" s="176"/>
      <c r="O701" s="176"/>
      <c r="P701" s="176"/>
      <c r="Q701" s="176"/>
      <c r="R701" s="176"/>
      <c r="S701" s="176"/>
      <c r="T701" s="176"/>
      <c r="U701" s="176"/>
      <c r="V701" s="176"/>
      <c r="W701" s="345"/>
      <c r="X701" s="176"/>
      <c r="Y701" s="176"/>
    </row>
    <row r="702" spans="1:25">
      <c r="A702" s="162"/>
      <c r="B702" s="163"/>
      <c r="C702" s="163"/>
      <c r="D702" s="163"/>
      <c r="E702" s="163"/>
      <c r="F702" s="163"/>
      <c r="G702" s="163"/>
      <c r="H702" s="163"/>
      <c r="I702" s="163"/>
      <c r="J702" s="163"/>
      <c r="K702" s="163"/>
      <c r="L702" s="163"/>
      <c r="M702" s="163"/>
      <c r="N702" s="163"/>
      <c r="O702" s="163"/>
      <c r="P702" s="163"/>
      <c r="Q702" s="163"/>
      <c r="R702" s="163"/>
      <c r="S702" s="163"/>
      <c r="T702" s="163"/>
      <c r="U702" s="178" t="s">
        <v>1681</v>
      </c>
      <c r="V702" s="165"/>
      <c r="W702" s="451">
        <v>1088499.93</v>
      </c>
      <c r="X702" s="165"/>
      <c r="Y702" s="165"/>
    </row>
    <row r="703" spans="1:25">
      <c r="A703" s="162"/>
      <c r="B703" s="163"/>
      <c r="C703" s="163"/>
      <c r="D703" s="163"/>
      <c r="E703" s="163"/>
      <c r="F703" s="163"/>
      <c r="G703" s="163"/>
      <c r="H703" s="163"/>
      <c r="I703" s="163"/>
      <c r="J703" s="163"/>
      <c r="K703" s="163"/>
      <c r="L703" s="163"/>
      <c r="M703" s="163"/>
      <c r="N703" s="163"/>
      <c r="O703" s="163"/>
      <c r="P703" s="163"/>
      <c r="Q703" s="163"/>
      <c r="R703" s="163"/>
      <c r="S703" s="163"/>
      <c r="T703" s="163"/>
      <c r="U703" s="178" t="s">
        <v>1437</v>
      </c>
      <c r="V703" s="165"/>
      <c r="W703" s="451">
        <v>50000</v>
      </c>
      <c r="X703" s="165"/>
      <c r="Y703" s="165"/>
    </row>
    <row r="704" spans="1:25">
      <c r="A704" s="162"/>
      <c r="B704" s="163"/>
      <c r="C704" s="163"/>
      <c r="D704" s="163"/>
      <c r="E704" s="163"/>
      <c r="F704" s="163"/>
      <c r="G704" s="163"/>
      <c r="H704" s="163"/>
      <c r="I704" s="163"/>
      <c r="J704" s="163"/>
      <c r="K704" s="163"/>
      <c r="L704" s="163"/>
      <c r="M704" s="163"/>
      <c r="N704" s="163"/>
      <c r="O704" s="163"/>
      <c r="P704" s="163"/>
      <c r="Q704" s="163"/>
      <c r="R704" s="163"/>
      <c r="S704" s="163"/>
      <c r="T704" s="163"/>
      <c r="U704" s="178" t="s">
        <v>2419</v>
      </c>
      <c r="V704" s="165"/>
      <c r="W704" s="451">
        <v>71510</v>
      </c>
      <c r="X704" s="165"/>
      <c r="Y704" s="165"/>
    </row>
    <row r="705" spans="1:25">
      <c r="A705" s="162"/>
      <c r="B705" s="163"/>
      <c r="C705" s="163"/>
      <c r="D705" s="163"/>
      <c r="E705" s="163"/>
      <c r="F705" s="163"/>
      <c r="G705" s="163"/>
      <c r="H705" s="163"/>
      <c r="I705" s="163"/>
      <c r="J705" s="163"/>
      <c r="K705" s="163"/>
      <c r="L705" s="163"/>
      <c r="M705" s="163"/>
      <c r="N705" s="163"/>
      <c r="O705" s="163"/>
      <c r="P705" s="163"/>
      <c r="Q705" s="163"/>
      <c r="R705" s="163"/>
      <c r="S705" s="163"/>
      <c r="T705" s="163"/>
      <c r="U705" s="178" t="s">
        <v>2420</v>
      </c>
      <c r="V705" s="165"/>
      <c r="W705" s="451">
        <v>289990</v>
      </c>
      <c r="X705" s="165"/>
      <c r="Y705" s="165"/>
    </row>
    <row r="706" spans="1:25">
      <c r="A706" s="162"/>
      <c r="B706" s="179"/>
      <c r="C706" s="179"/>
      <c r="D706" s="179"/>
      <c r="E706" s="179"/>
      <c r="F706" s="179"/>
      <c r="G706" s="179"/>
      <c r="H706" s="179"/>
      <c r="I706" s="179"/>
      <c r="J706" s="179"/>
      <c r="K706" s="179"/>
      <c r="L706" s="179"/>
      <c r="M706" s="179"/>
      <c r="N706" s="179"/>
      <c r="O706" s="179"/>
      <c r="P706" s="179"/>
      <c r="Q706" s="179"/>
      <c r="R706" s="179"/>
      <c r="S706" s="180"/>
      <c r="T706" s="180"/>
      <c r="U706" s="166" t="s">
        <v>1439</v>
      </c>
      <c r="V706" s="165">
        <v>500000</v>
      </c>
      <c r="W706" s="451">
        <v>0</v>
      </c>
      <c r="X706" s="163"/>
      <c r="Y706" s="163"/>
    </row>
    <row r="707" spans="1:25">
      <c r="A707" s="162"/>
      <c r="B707" s="179"/>
      <c r="C707" s="179"/>
      <c r="D707" s="179"/>
      <c r="E707" s="179"/>
      <c r="F707" s="179"/>
      <c r="G707" s="179"/>
      <c r="H707" s="179"/>
      <c r="I707" s="179"/>
      <c r="J707" s="179"/>
      <c r="K707" s="179"/>
      <c r="L707" s="179"/>
      <c r="M707" s="179"/>
      <c r="N707" s="179"/>
      <c r="O707" s="179"/>
      <c r="P707" s="179"/>
      <c r="Q707" s="179"/>
      <c r="R707" s="179"/>
      <c r="S707" s="180"/>
      <c r="T707" s="180"/>
      <c r="U707" s="166" t="s">
        <v>1440</v>
      </c>
      <c r="V707" s="165">
        <v>1000000</v>
      </c>
      <c r="W707" s="451">
        <v>0</v>
      </c>
      <c r="X707" s="163"/>
      <c r="Y707" s="163"/>
    </row>
    <row r="708" spans="1:25" s="184" customFormat="1">
      <c r="A708" s="181"/>
      <c r="B708" s="182"/>
      <c r="C708" s="182"/>
      <c r="D708" s="182"/>
      <c r="E708" s="182"/>
      <c r="F708" s="182"/>
      <c r="G708" s="182"/>
      <c r="H708" s="182"/>
      <c r="I708" s="182"/>
      <c r="J708" s="182"/>
      <c r="K708" s="182"/>
      <c r="L708" s="182"/>
      <c r="M708" s="182"/>
      <c r="N708" s="182"/>
      <c r="O708" s="182"/>
      <c r="P708" s="182"/>
      <c r="Q708" s="182"/>
      <c r="R708" s="182"/>
      <c r="S708" s="182"/>
      <c r="T708" s="182"/>
      <c r="U708" s="183"/>
      <c r="V708" s="168">
        <f t="shared" ref="V708:Y708" si="115">SUM(V702:V707)</f>
        <v>1500000</v>
      </c>
      <c r="W708" s="168">
        <f t="shared" si="115"/>
        <v>1499999.93</v>
      </c>
      <c r="X708" s="168">
        <f t="shared" si="115"/>
        <v>0</v>
      </c>
      <c r="Y708" s="168">
        <f t="shared" si="115"/>
        <v>0</v>
      </c>
    </row>
    <row r="712" spans="1:25" s="148" customFormat="1" ht="26.25">
      <c r="A712" s="175" t="s">
        <v>1058</v>
      </c>
      <c r="B712" s="176"/>
      <c r="C712" s="176"/>
      <c r="D712" s="176"/>
      <c r="E712" s="176"/>
      <c r="F712" s="176"/>
      <c r="G712" s="176"/>
      <c r="H712" s="176"/>
      <c r="I712" s="176"/>
      <c r="J712" s="176"/>
      <c r="K712" s="176"/>
      <c r="L712" s="176"/>
      <c r="M712" s="176"/>
      <c r="N712" s="176"/>
      <c r="O712" s="176"/>
      <c r="P712" s="176"/>
      <c r="Q712" s="176"/>
      <c r="R712" s="176"/>
      <c r="S712" s="176"/>
      <c r="T712" s="176"/>
      <c r="U712" s="176"/>
      <c r="V712" s="176"/>
      <c r="W712" s="345"/>
      <c r="X712" s="176"/>
      <c r="Y712" s="176"/>
    </row>
    <row r="713" spans="1:25" s="148" customFormat="1" ht="15">
      <c r="A713" s="196"/>
      <c r="B713" s="197"/>
      <c r="C713" s="197"/>
      <c r="D713" s="197"/>
      <c r="E713" s="197"/>
      <c r="F713" s="197"/>
      <c r="G713" s="197"/>
      <c r="H713" s="197"/>
      <c r="I713" s="197"/>
      <c r="J713" s="197"/>
      <c r="K713" s="197"/>
      <c r="L713" s="197"/>
      <c r="M713" s="197"/>
      <c r="N713" s="197"/>
      <c r="O713" s="197"/>
      <c r="P713" s="197"/>
      <c r="Q713" s="197"/>
      <c r="R713" s="197"/>
      <c r="S713" s="198"/>
      <c r="T713" s="198"/>
      <c r="U713" s="199" t="s">
        <v>1435</v>
      </c>
      <c r="V713" s="152">
        <v>510000</v>
      </c>
      <c r="W713" s="451">
        <v>0</v>
      </c>
      <c r="X713" s="200"/>
      <c r="Y713" s="200"/>
    </row>
    <row r="714" spans="1:25" s="148" customFormat="1" ht="15">
      <c r="A714" s="196"/>
      <c r="B714" s="197"/>
      <c r="C714" s="197"/>
      <c r="D714" s="197"/>
      <c r="E714" s="197"/>
      <c r="F714" s="197"/>
      <c r="G714" s="197"/>
      <c r="H714" s="197"/>
      <c r="I714" s="197"/>
      <c r="J714" s="197"/>
      <c r="K714" s="197"/>
      <c r="L714" s="197"/>
      <c r="M714" s="197"/>
      <c r="N714" s="197"/>
      <c r="O714" s="197"/>
      <c r="P714" s="197"/>
      <c r="Q714" s="197"/>
      <c r="R714" s="197"/>
      <c r="S714" s="198"/>
      <c r="T714" s="198"/>
      <c r="U714" s="199" t="s">
        <v>1441</v>
      </c>
      <c r="V714" s="152">
        <v>428000</v>
      </c>
      <c r="W714" s="451">
        <v>0</v>
      </c>
      <c r="X714" s="200"/>
      <c r="Y714" s="200"/>
    </row>
    <row r="715" spans="1:25" s="148" customFormat="1" ht="15">
      <c r="A715" s="196"/>
      <c r="B715" s="197"/>
      <c r="C715" s="197"/>
      <c r="D715" s="197"/>
      <c r="E715" s="197"/>
      <c r="F715" s="197"/>
      <c r="G715" s="197"/>
      <c r="H715" s="197"/>
      <c r="I715" s="197"/>
      <c r="J715" s="197"/>
      <c r="K715" s="197"/>
      <c r="L715" s="197"/>
      <c r="M715" s="197"/>
      <c r="N715" s="197"/>
      <c r="O715" s="197"/>
      <c r="P715" s="197"/>
      <c r="Q715" s="197"/>
      <c r="R715" s="197"/>
      <c r="S715" s="198"/>
      <c r="T715" s="198"/>
      <c r="U715" s="199" t="s">
        <v>1442</v>
      </c>
      <c r="V715" s="152">
        <v>130000</v>
      </c>
      <c r="W715" s="451">
        <v>0</v>
      </c>
      <c r="X715" s="200"/>
      <c r="Y715" s="200"/>
    </row>
    <row r="716" spans="1:25" s="148" customFormat="1" ht="15">
      <c r="A716" s="196"/>
      <c r="B716" s="197"/>
      <c r="C716" s="197"/>
      <c r="D716" s="197"/>
      <c r="E716" s="197"/>
      <c r="F716" s="197"/>
      <c r="G716" s="197"/>
      <c r="H716" s="197"/>
      <c r="I716" s="197"/>
      <c r="J716" s="197"/>
      <c r="K716" s="197"/>
      <c r="L716" s="197"/>
      <c r="M716" s="197"/>
      <c r="N716" s="197"/>
      <c r="O716" s="197"/>
      <c r="P716" s="197"/>
      <c r="Q716" s="197"/>
      <c r="R716" s="197"/>
      <c r="S716" s="198"/>
      <c r="T716" s="198"/>
      <c r="U716" s="199" t="s">
        <v>1443</v>
      </c>
      <c r="V716" s="152">
        <v>760000</v>
      </c>
      <c r="W716" s="451">
        <v>0</v>
      </c>
      <c r="X716" s="200"/>
      <c r="Y716" s="200"/>
    </row>
    <row r="717" spans="1:25" s="148" customFormat="1" ht="15">
      <c r="A717" s="196"/>
      <c r="B717" s="197"/>
      <c r="C717" s="197"/>
      <c r="D717" s="197"/>
      <c r="E717" s="197"/>
      <c r="F717" s="197"/>
      <c r="G717" s="197"/>
      <c r="H717" s="197"/>
      <c r="I717" s="197"/>
      <c r="J717" s="197"/>
      <c r="K717" s="197"/>
      <c r="L717" s="197"/>
      <c r="M717" s="197"/>
      <c r="N717" s="197"/>
      <c r="O717" s="197"/>
      <c r="P717" s="197"/>
      <c r="Q717" s="197"/>
      <c r="R717" s="197"/>
      <c r="S717" s="198"/>
      <c r="T717" s="198"/>
      <c r="U717" s="199" t="s">
        <v>2422</v>
      </c>
      <c r="V717" s="152">
        <v>380000</v>
      </c>
      <c r="W717" s="451">
        <v>0</v>
      </c>
      <c r="X717" s="200"/>
      <c r="Y717" s="200"/>
    </row>
    <row r="718" spans="1:25" s="148" customFormat="1" ht="15">
      <c r="A718" s="196"/>
      <c r="B718" s="197"/>
      <c r="C718" s="197"/>
      <c r="D718" s="197"/>
      <c r="E718" s="197"/>
      <c r="F718" s="197"/>
      <c r="G718" s="197"/>
      <c r="H718" s="197"/>
      <c r="I718" s="197"/>
      <c r="J718" s="197"/>
      <c r="K718" s="197"/>
      <c r="L718" s="197"/>
      <c r="M718" s="197"/>
      <c r="N718" s="197"/>
      <c r="O718" s="197"/>
      <c r="P718" s="197"/>
      <c r="Q718" s="197"/>
      <c r="R718" s="197"/>
      <c r="S718" s="198"/>
      <c r="T718" s="198"/>
      <c r="U718" s="199" t="s">
        <v>1444</v>
      </c>
      <c r="V718" s="152">
        <v>200000</v>
      </c>
      <c r="W718" s="451">
        <v>0</v>
      </c>
      <c r="X718" s="200"/>
      <c r="Y718" s="200"/>
    </row>
    <row r="719" spans="1:25" s="148" customFormat="1" ht="15">
      <c r="A719" s="196"/>
      <c r="B719" s="197"/>
      <c r="C719" s="197"/>
      <c r="D719" s="197"/>
      <c r="E719" s="197"/>
      <c r="F719" s="197"/>
      <c r="G719" s="197"/>
      <c r="H719" s="197"/>
      <c r="I719" s="197"/>
      <c r="J719" s="197"/>
      <c r="K719" s="197"/>
      <c r="L719" s="197"/>
      <c r="M719" s="197"/>
      <c r="N719" s="197"/>
      <c r="O719" s="197"/>
      <c r="P719" s="197"/>
      <c r="Q719" s="197"/>
      <c r="R719" s="197"/>
      <c r="S719" s="198"/>
      <c r="T719" s="198"/>
      <c r="U719" s="237" t="s">
        <v>2421</v>
      </c>
      <c r="V719" s="152"/>
      <c r="W719" s="451">
        <v>0</v>
      </c>
      <c r="X719" s="136">
        <v>6948000</v>
      </c>
      <c r="Y719" s="200"/>
    </row>
    <row r="720" spans="1:25" s="202" customFormat="1" ht="15">
      <c r="A720" s="193" t="s">
        <v>1445</v>
      </c>
      <c r="B720" s="203"/>
      <c r="C720" s="203"/>
      <c r="D720" s="203"/>
      <c r="E720" s="203"/>
      <c r="F720" s="203"/>
      <c r="G720" s="203"/>
      <c r="H720" s="203"/>
      <c r="I720" s="203"/>
      <c r="J720" s="203"/>
      <c r="K720" s="203"/>
      <c r="L720" s="203"/>
      <c r="M720" s="203"/>
      <c r="N720" s="203"/>
      <c r="O720" s="203"/>
      <c r="P720" s="203"/>
      <c r="Q720" s="203"/>
      <c r="R720" s="203"/>
      <c r="S720" s="203"/>
      <c r="T720" s="203"/>
      <c r="U720" s="199"/>
      <c r="V720" s="157">
        <f>SUM(V713:V719)</f>
        <v>2408000</v>
      </c>
      <c r="W720" s="157">
        <f t="shared" ref="W720" si="116">SUM(W713:W719)</f>
        <v>0</v>
      </c>
      <c r="X720" s="157">
        <f t="shared" ref="X720:Y720" si="117">SUM(X713:X719)</f>
        <v>6948000</v>
      </c>
      <c r="Y720" s="157">
        <f t="shared" si="117"/>
        <v>0</v>
      </c>
    </row>
    <row r="725" spans="1:25" ht="26.25">
      <c r="A725" s="175" t="s">
        <v>1060</v>
      </c>
      <c r="B725" s="176"/>
      <c r="C725" s="176"/>
      <c r="D725" s="176"/>
      <c r="E725" s="176"/>
      <c r="F725" s="176"/>
      <c r="G725" s="176"/>
      <c r="H725" s="176"/>
      <c r="I725" s="176"/>
      <c r="J725" s="176"/>
      <c r="K725" s="176"/>
      <c r="L725" s="176"/>
      <c r="M725" s="176"/>
      <c r="N725" s="176"/>
      <c r="O725" s="176"/>
      <c r="P725" s="176"/>
      <c r="Q725" s="176"/>
      <c r="R725" s="176"/>
      <c r="S725" s="176"/>
      <c r="T725" s="176"/>
      <c r="U725" s="176"/>
      <c r="V725" s="176"/>
      <c r="W725" s="345"/>
      <c r="X725" s="176"/>
      <c r="Y725" s="176"/>
    </row>
    <row r="726" spans="1:25">
      <c r="A726" s="162"/>
      <c r="B726" s="163"/>
      <c r="C726" s="163"/>
      <c r="D726" s="163"/>
      <c r="E726" s="163"/>
      <c r="F726" s="163"/>
      <c r="G726" s="163"/>
      <c r="H726" s="163"/>
      <c r="I726" s="163"/>
      <c r="J726" s="163"/>
      <c r="K726" s="163"/>
      <c r="L726" s="163"/>
      <c r="M726" s="163"/>
      <c r="N726" s="163"/>
      <c r="O726" s="163"/>
      <c r="P726" s="163"/>
      <c r="Q726" s="163"/>
      <c r="R726" s="163"/>
      <c r="S726" s="163"/>
      <c r="T726" s="163"/>
      <c r="U726" s="178" t="s">
        <v>2082</v>
      </c>
      <c r="V726" s="165"/>
      <c r="W726" s="451">
        <v>606000</v>
      </c>
      <c r="X726" s="165">
        <v>0</v>
      </c>
      <c r="Y726" s="165">
        <v>0</v>
      </c>
    </row>
    <row r="727" spans="1:25">
      <c r="A727" s="162"/>
      <c r="B727" s="163"/>
      <c r="C727" s="163"/>
      <c r="D727" s="163"/>
      <c r="E727" s="163"/>
      <c r="F727" s="163"/>
      <c r="G727" s="163"/>
      <c r="H727" s="163"/>
      <c r="I727" s="163"/>
      <c r="J727" s="163"/>
      <c r="K727" s="163"/>
      <c r="L727" s="163"/>
      <c r="M727" s="163"/>
      <c r="N727" s="163"/>
      <c r="O727" s="163"/>
      <c r="P727" s="163"/>
      <c r="Q727" s="163"/>
      <c r="R727" s="163"/>
      <c r="S727" s="163"/>
      <c r="T727" s="163"/>
      <c r="U727" s="178" t="s">
        <v>2083</v>
      </c>
      <c r="V727" s="165"/>
      <c r="W727" s="451">
        <v>800000</v>
      </c>
      <c r="X727" s="165">
        <v>0</v>
      </c>
      <c r="Y727" s="165">
        <v>0</v>
      </c>
    </row>
    <row r="728" spans="1:25" ht="25.5">
      <c r="A728" s="162"/>
      <c r="B728" s="179"/>
      <c r="C728" s="179"/>
      <c r="D728" s="179"/>
      <c r="E728" s="179"/>
      <c r="F728" s="179"/>
      <c r="G728" s="179"/>
      <c r="H728" s="179"/>
      <c r="I728" s="179"/>
      <c r="J728" s="179"/>
      <c r="K728" s="179"/>
      <c r="L728" s="179"/>
      <c r="M728" s="179"/>
      <c r="N728" s="179"/>
      <c r="O728" s="179"/>
      <c r="P728" s="179"/>
      <c r="Q728" s="179"/>
      <c r="R728" s="179"/>
      <c r="S728" s="180"/>
      <c r="T728" s="180"/>
      <c r="U728" s="166" t="s">
        <v>1446</v>
      </c>
      <c r="V728" s="165">
        <v>2112000</v>
      </c>
      <c r="W728" s="451">
        <v>0</v>
      </c>
      <c r="X728" s="163"/>
      <c r="Y728" s="163"/>
    </row>
    <row r="729" spans="1:25" s="184" customFormat="1">
      <c r="A729" s="181"/>
      <c r="B729" s="182"/>
      <c r="C729" s="182"/>
      <c r="D729" s="182"/>
      <c r="E729" s="182"/>
      <c r="F729" s="182"/>
      <c r="G729" s="182"/>
      <c r="H729" s="182"/>
      <c r="I729" s="182"/>
      <c r="J729" s="182"/>
      <c r="K729" s="182"/>
      <c r="L729" s="182"/>
      <c r="M729" s="182"/>
      <c r="N729" s="182"/>
      <c r="O729" s="182"/>
      <c r="P729" s="182"/>
      <c r="Q729" s="182"/>
      <c r="R729" s="182"/>
      <c r="S729" s="182"/>
      <c r="T729" s="182"/>
      <c r="U729" s="183"/>
      <c r="V729" s="168">
        <f t="shared" ref="V729:Y729" si="118">SUM(V726:V728)</f>
        <v>2112000</v>
      </c>
      <c r="W729" s="334">
        <f t="shared" si="118"/>
        <v>1406000</v>
      </c>
      <c r="X729" s="168">
        <f t="shared" si="118"/>
        <v>0</v>
      </c>
      <c r="Y729" s="168">
        <f t="shared" si="118"/>
        <v>0</v>
      </c>
    </row>
    <row r="732" spans="1:25">
      <c r="A732" s="204"/>
    </row>
    <row r="734" spans="1:25" ht="26.25">
      <c r="A734" s="175" t="s">
        <v>125</v>
      </c>
      <c r="B734" s="176"/>
      <c r="C734" s="176"/>
      <c r="D734" s="176"/>
      <c r="E734" s="176"/>
      <c r="F734" s="176"/>
      <c r="G734" s="176"/>
      <c r="H734" s="176"/>
      <c r="I734" s="176"/>
      <c r="J734" s="176"/>
      <c r="K734" s="176"/>
      <c r="L734" s="176"/>
      <c r="M734" s="176"/>
      <c r="N734" s="176"/>
      <c r="O734" s="176"/>
      <c r="P734" s="176"/>
      <c r="Q734" s="176"/>
      <c r="R734" s="176"/>
      <c r="S734" s="176"/>
      <c r="T734" s="176"/>
      <c r="U734" s="176"/>
      <c r="V734" s="176"/>
      <c r="W734" s="345"/>
      <c r="X734" s="176"/>
      <c r="Y734" s="176"/>
    </row>
    <row r="735" spans="1:25">
      <c r="A735" s="162"/>
      <c r="B735" s="163"/>
      <c r="C735" s="163"/>
      <c r="D735" s="163"/>
      <c r="E735" s="163"/>
      <c r="F735" s="163"/>
      <c r="G735" s="163"/>
      <c r="H735" s="163"/>
      <c r="I735" s="163"/>
      <c r="J735" s="163"/>
      <c r="K735" s="163"/>
      <c r="L735" s="163"/>
      <c r="M735" s="163"/>
      <c r="N735" s="163"/>
      <c r="O735" s="163"/>
      <c r="P735" s="163"/>
      <c r="Q735" s="163"/>
      <c r="R735" s="163"/>
      <c r="S735" s="163"/>
      <c r="T735" s="163"/>
      <c r="U735" s="178" t="s">
        <v>1447</v>
      </c>
      <c r="V735" s="165"/>
      <c r="W735" s="451">
        <v>0</v>
      </c>
      <c r="X735" s="282">
        <v>139631526.43000001</v>
      </c>
      <c r="Y735" s="366">
        <v>80578000</v>
      </c>
    </row>
    <row r="736" spans="1:25">
      <c r="A736" s="162"/>
      <c r="B736" s="163"/>
      <c r="C736" s="163"/>
      <c r="D736" s="163"/>
      <c r="E736" s="163"/>
      <c r="F736" s="163"/>
      <c r="G736" s="163"/>
      <c r="H736" s="163"/>
      <c r="I736" s="163"/>
      <c r="J736" s="163"/>
      <c r="K736" s="163"/>
      <c r="L736" s="163"/>
      <c r="M736" s="163"/>
      <c r="N736" s="163"/>
      <c r="O736" s="163"/>
      <c r="P736" s="163"/>
      <c r="Q736" s="163"/>
      <c r="R736" s="163"/>
      <c r="S736" s="163"/>
      <c r="T736" s="163"/>
      <c r="U736" s="178" t="s">
        <v>2423</v>
      </c>
      <c r="V736" s="165"/>
      <c r="W736" s="451">
        <v>0</v>
      </c>
      <c r="X736" s="282">
        <v>11581790.92</v>
      </c>
      <c r="Y736" s="366">
        <v>6374</v>
      </c>
    </row>
    <row r="737" spans="1:25">
      <c r="A737" s="181"/>
      <c r="B737" s="163"/>
      <c r="C737" s="163"/>
      <c r="D737" s="163"/>
      <c r="E737" s="163"/>
      <c r="F737" s="163"/>
      <c r="G737" s="163"/>
      <c r="H737" s="163"/>
      <c r="I737" s="163"/>
      <c r="J737" s="163"/>
      <c r="K737" s="163"/>
      <c r="L737" s="163"/>
      <c r="M737" s="163"/>
      <c r="N737" s="163"/>
      <c r="O737" s="163"/>
      <c r="P737" s="163"/>
      <c r="Q737" s="163"/>
      <c r="R737" s="163"/>
      <c r="S737" s="163"/>
      <c r="T737" s="163"/>
      <c r="U737" s="178" t="s">
        <v>1448</v>
      </c>
      <c r="V737" s="165"/>
      <c r="W737" s="451">
        <v>0</v>
      </c>
      <c r="X737" s="282">
        <v>1875779.4</v>
      </c>
      <c r="Y737" s="366">
        <v>1233000</v>
      </c>
    </row>
    <row r="738" spans="1:25">
      <c r="A738" s="162"/>
      <c r="B738" s="163"/>
      <c r="C738" s="163"/>
      <c r="D738" s="163"/>
      <c r="E738" s="163"/>
      <c r="F738" s="163"/>
      <c r="G738" s="163"/>
      <c r="H738" s="163"/>
      <c r="I738" s="163"/>
      <c r="J738" s="163"/>
      <c r="K738" s="163"/>
      <c r="L738" s="163"/>
      <c r="M738" s="163"/>
      <c r="N738" s="163"/>
      <c r="O738" s="163"/>
      <c r="P738" s="163"/>
      <c r="Q738" s="163"/>
      <c r="R738" s="163"/>
      <c r="S738" s="163"/>
      <c r="T738" s="163"/>
      <c r="U738" s="178" t="s">
        <v>1449</v>
      </c>
      <c r="V738" s="165"/>
      <c r="W738" s="451">
        <v>0</v>
      </c>
      <c r="X738" s="282">
        <v>159320000</v>
      </c>
      <c r="Y738" s="366">
        <v>150000000</v>
      </c>
    </row>
    <row r="739" spans="1:25">
      <c r="A739" s="162"/>
      <c r="B739" s="163"/>
      <c r="C739" s="163"/>
      <c r="D739" s="163"/>
      <c r="E739" s="163"/>
      <c r="F739" s="163"/>
      <c r="G739" s="163"/>
      <c r="H739" s="163"/>
      <c r="I739" s="163"/>
      <c r="J739" s="163"/>
      <c r="K739" s="163"/>
      <c r="L739" s="163"/>
      <c r="M739" s="163"/>
      <c r="N739" s="163"/>
      <c r="O739" s="163"/>
      <c r="P739" s="163"/>
      <c r="Q739" s="163"/>
      <c r="R739" s="163"/>
      <c r="S739" s="163"/>
      <c r="T739" s="163"/>
      <c r="U739" s="178" t="s">
        <v>1450</v>
      </c>
      <c r="V739" s="165"/>
      <c r="W739" s="451">
        <v>0</v>
      </c>
      <c r="X739" s="282">
        <v>2517600.7999999998</v>
      </c>
      <c r="Y739" s="366">
        <v>166000</v>
      </c>
    </row>
    <row r="740" spans="1:25">
      <c r="A740" s="162"/>
      <c r="B740" s="163"/>
      <c r="C740" s="163"/>
      <c r="D740" s="163"/>
      <c r="E740" s="163"/>
      <c r="F740" s="163"/>
      <c r="G740" s="163"/>
      <c r="H740" s="163"/>
      <c r="I740" s="163"/>
      <c r="J740" s="163"/>
      <c r="K740" s="163"/>
      <c r="L740" s="163"/>
      <c r="M740" s="163"/>
      <c r="N740" s="163"/>
      <c r="O740" s="163"/>
      <c r="P740" s="163"/>
      <c r="Q740" s="163"/>
      <c r="R740" s="163"/>
      <c r="S740" s="163"/>
      <c r="T740" s="163"/>
      <c r="U740" s="178" t="s">
        <v>1451</v>
      </c>
      <c r="V740" s="165"/>
      <c r="W740" s="451">
        <v>0</v>
      </c>
      <c r="X740" s="282">
        <v>181989000</v>
      </c>
      <c r="Y740" s="366">
        <v>11050000</v>
      </c>
    </row>
    <row r="741" spans="1:25" ht="25.5">
      <c r="A741" s="162"/>
      <c r="B741" s="163"/>
      <c r="C741" s="163"/>
      <c r="D741" s="163"/>
      <c r="E741" s="163"/>
      <c r="F741" s="163"/>
      <c r="G741" s="163"/>
      <c r="H741" s="163"/>
      <c r="I741" s="163"/>
      <c r="J741" s="163"/>
      <c r="K741" s="163"/>
      <c r="L741" s="163"/>
      <c r="M741" s="163"/>
      <c r="N741" s="163"/>
      <c r="O741" s="163"/>
      <c r="P741" s="163"/>
      <c r="Q741" s="163"/>
      <c r="R741" s="163"/>
      <c r="S741" s="163"/>
      <c r="T741" s="163"/>
      <c r="U741" s="178" t="s">
        <v>2424</v>
      </c>
      <c r="V741" s="165"/>
      <c r="W741" s="451">
        <v>0</v>
      </c>
      <c r="X741" s="282">
        <v>671530732.38999999</v>
      </c>
      <c r="Y741" s="366">
        <v>430494000</v>
      </c>
    </row>
    <row r="742" spans="1:25" ht="25.5">
      <c r="A742" s="162"/>
      <c r="B742" s="163"/>
      <c r="C742" s="163"/>
      <c r="D742" s="163"/>
      <c r="E742" s="163"/>
      <c r="F742" s="163"/>
      <c r="G742" s="163"/>
      <c r="H742" s="163"/>
      <c r="I742" s="163"/>
      <c r="J742" s="163"/>
      <c r="K742" s="163"/>
      <c r="L742" s="163"/>
      <c r="M742" s="163"/>
      <c r="N742" s="163"/>
      <c r="O742" s="163"/>
      <c r="P742" s="163"/>
      <c r="Q742" s="163"/>
      <c r="R742" s="163"/>
      <c r="S742" s="163"/>
      <c r="T742" s="163"/>
      <c r="U742" s="178" t="s">
        <v>1452</v>
      </c>
      <c r="V742" s="165"/>
      <c r="W742" s="451">
        <v>0</v>
      </c>
      <c r="X742" s="282">
        <v>63103108.520000003</v>
      </c>
      <c r="Y742" s="366">
        <v>36520000</v>
      </c>
    </row>
    <row r="743" spans="1:25">
      <c r="A743" s="162"/>
      <c r="B743" s="163"/>
      <c r="C743" s="163"/>
      <c r="D743" s="163"/>
      <c r="E743" s="163"/>
      <c r="F743" s="163"/>
      <c r="G743" s="163"/>
      <c r="H743" s="163"/>
      <c r="I743" s="163"/>
      <c r="J743" s="163"/>
      <c r="K743" s="163"/>
      <c r="L743" s="163"/>
      <c r="M743" s="163"/>
      <c r="N743" s="163"/>
      <c r="O743" s="163"/>
      <c r="P743" s="163"/>
      <c r="Q743" s="163"/>
      <c r="R743" s="163"/>
      <c r="S743" s="163"/>
      <c r="T743" s="163"/>
      <c r="U743" s="178" t="s">
        <v>2425</v>
      </c>
      <c r="V743" s="165"/>
      <c r="W743" s="451">
        <v>0</v>
      </c>
      <c r="X743" s="282">
        <v>171611744.36000001</v>
      </c>
      <c r="Y743" s="366">
        <v>85667000</v>
      </c>
    </row>
    <row r="744" spans="1:25" ht="25.5">
      <c r="A744" s="162"/>
      <c r="B744" s="163"/>
      <c r="C744" s="163"/>
      <c r="D744" s="163"/>
      <c r="E744" s="163"/>
      <c r="F744" s="163"/>
      <c r="G744" s="163"/>
      <c r="H744" s="163"/>
      <c r="I744" s="163"/>
      <c r="J744" s="163"/>
      <c r="K744" s="163"/>
      <c r="L744" s="163"/>
      <c r="M744" s="163"/>
      <c r="N744" s="163"/>
      <c r="O744" s="163"/>
      <c r="P744" s="163"/>
      <c r="Q744" s="163"/>
      <c r="R744" s="163"/>
      <c r="S744" s="163"/>
      <c r="T744" s="163"/>
      <c r="U744" s="178" t="s">
        <v>1453</v>
      </c>
      <c r="V744" s="165"/>
      <c r="W744" s="451">
        <v>0</v>
      </c>
      <c r="X744" s="282">
        <v>194373250.37</v>
      </c>
      <c r="Y744" s="373">
        <v>0</v>
      </c>
    </row>
    <row r="745" spans="1:25" ht="25.5">
      <c r="A745" s="162"/>
      <c r="B745" s="163"/>
      <c r="C745" s="163"/>
      <c r="D745" s="163"/>
      <c r="E745" s="163"/>
      <c r="F745" s="163"/>
      <c r="G745" s="163"/>
      <c r="H745" s="163"/>
      <c r="I745" s="163"/>
      <c r="J745" s="163"/>
      <c r="K745" s="163"/>
      <c r="L745" s="163"/>
      <c r="M745" s="163"/>
      <c r="N745" s="163"/>
      <c r="O745" s="163"/>
      <c r="P745" s="163"/>
      <c r="Q745" s="163"/>
      <c r="R745" s="163"/>
      <c r="S745" s="163"/>
      <c r="T745" s="163"/>
      <c r="U745" s="178" t="s">
        <v>1454</v>
      </c>
      <c r="V745" s="165"/>
      <c r="W745" s="451">
        <v>0</v>
      </c>
      <c r="X745" s="282">
        <v>9575000</v>
      </c>
      <c r="Y745" s="373">
        <v>0</v>
      </c>
    </row>
    <row r="746" spans="1:25">
      <c r="A746" s="162"/>
      <c r="B746" s="163"/>
      <c r="C746" s="163"/>
      <c r="D746" s="163"/>
      <c r="E746" s="163"/>
      <c r="F746" s="163"/>
      <c r="G746" s="163"/>
      <c r="H746" s="163"/>
      <c r="I746" s="163"/>
      <c r="J746" s="163"/>
      <c r="K746" s="163"/>
      <c r="L746" s="163"/>
      <c r="M746" s="163"/>
      <c r="N746" s="163"/>
      <c r="O746" s="163"/>
      <c r="P746" s="163"/>
      <c r="Q746" s="163"/>
      <c r="R746" s="163"/>
      <c r="S746" s="163"/>
      <c r="T746" s="163"/>
      <c r="U746" s="178" t="s">
        <v>1455</v>
      </c>
      <c r="V746" s="165"/>
      <c r="W746" s="451">
        <v>0</v>
      </c>
      <c r="X746" s="282">
        <v>38192973.100000001</v>
      </c>
      <c r="Y746" s="373"/>
    </row>
    <row r="747" spans="1:25">
      <c r="A747" s="162"/>
      <c r="B747" s="163"/>
      <c r="C747" s="163"/>
      <c r="D747" s="163"/>
      <c r="E747" s="163"/>
      <c r="F747" s="163"/>
      <c r="G747" s="163"/>
      <c r="H747" s="163"/>
      <c r="I747" s="163"/>
      <c r="J747" s="163"/>
      <c r="K747" s="163"/>
      <c r="L747" s="163"/>
      <c r="M747" s="163"/>
      <c r="N747" s="163"/>
      <c r="O747" s="163"/>
      <c r="P747" s="163"/>
      <c r="Q747" s="163"/>
      <c r="R747" s="163"/>
      <c r="S747" s="163"/>
      <c r="T747" s="163"/>
      <c r="U747" s="178" t="s">
        <v>2426</v>
      </c>
      <c r="V747" s="165"/>
      <c r="W747" s="451">
        <v>0</v>
      </c>
      <c r="X747" s="282">
        <v>200000000</v>
      </c>
      <c r="Y747" s="366">
        <v>33974516.939999998</v>
      </c>
    </row>
    <row r="748" spans="1:25">
      <c r="A748" s="162"/>
      <c r="B748" s="163"/>
      <c r="C748" s="163"/>
      <c r="D748" s="163"/>
      <c r="E748" s="163"/>
      <c r="F748" s="163"/>
      <c r="G748" s="163"/>
      <c r="H748" s="163"/>
      <c r="I748" s="163"/>
      <c r="J748" s="163"/>
      <c r="K748" s="163"/>
      <c r="L748" s="163"/>
      <c r="M748" s="163"/>
      <c r="N748" s="163"/>
      <c r="O748" s="163"/>
      <c r="P748" s="163"/>
      <c r="Q748" s="163"/>
      <c r="R748" s="163"/>
      <c r="S748" s="163"/>
      <c r="T748" s="163"/>
      <c r="U748" s="178" t="s">
        <v>1456</v>
      </c>
      <c r="V748" s="165"/>
      <c r="W748" s="451">
        <v>0</v>
      </c>
      <c r="X748" s="282">
        <v>152478028.65000001</v>
      </c>
      <c r="Y748" s="366">
        <v>150000000</v>
      </c>
    </row>
    <row r="749" spans="1:25">
      <c r="A749" s="162"/>
      <c r="B749" s="163"/>
      <c r="C749" s="163"/>
      <c r="D749" s="163"/>
      <c r="E749" s="163"/>
      <c r="F749" s="163"/>
      <c r="G749" s="163"/>
      <c r="H749" s="163"/>
      <c r="I749" s="163"/>
      <c r="J749" s="163"/>
      <c r="K749" s="163"/>
      <c r="L749" s="163"/>
      <c r="M749" s="163"/>
      <c r="N749" s="163"/>
      <c r="O749" s="163"/>
      <c r="P749" s="163"/>
      <c r="Q749" s="163"/>
      <c r="R749" s="163"/>
      <c r="S749" s="163"/>
      <c r="T749" s="163"/>
      <c r="U749" s="178" t="s">
        <v>1457</v>
      </c>
      <c r="V749" s="165"/>
      <c r="W749" s="451">
        <v>0</v>
      </c>
      <c r="X749" s="282">
        <v>55535588.399999999</v>
      </c>
      <c r="Y749" s="366"/>
    </row>
    <row r="750" spans="1:25">
      <c r="A750" s="162"/>
      <c r="B750" s="163"/>
      <c r="C750" s="163"/>
      <c r="D750" s="163"/>
      <c r="E750" s="163"/>
      <c r="F750" s="163"/>
      <c r="G750" s="163"/>
      <c r="H750" s="163"/>
      <c r="I750" s="163"/>
      <c r="J750" s="163"/>
      <c r="K750" s="163"/>
      <c r="L750" s="163"/>
      <c r="M750" s="163"/>
      <c r="N750" s="163"/>
      <c r="O750" s="163"/>
      <c r="P750" s="163"/>
      <c r="Q750" s="163"/>
      <c r="R750" s="163"/>
      <c r="S750" s="163"/>
      <c r="T750" s="163"/>
      <c r="U750" s="178" t="s">
        <v>2427</v>
      </c>
      <c r="V750" s="165"/>
      <c r="W750" s="451">
        <v>0</v>
      </c>
      <c r="X750" s="282">
        <v>200000000</v>
      </c>
      <c r="Y750" s="366">
        <v>35915749.979999997</v>
      </c>
    </row>
    <row r="751" spans="1:25">
      <c r="A751" s="162"/>
      <c r="B751" s="163"/>
      <c r="C751" s="163"/>
      <c r="D751" s="163"/>
      <c r="E751" s="163"/>
      <c r="F751" s="163"/>
      <c r="G751" s="163"/>
      <c r="H751" s="163"/>
      <c r="I751" s="163"/>
      <c r="J751" s="163"/>
      <c r="K751" s="163"/>
      <c r="L751" s="163"/>
      <c r="M751" s="163"/>
      <c r="N751" s="163"/>
      <c r="O751" s="163"/>
      <c r="P751" s="163"/>
      <c r="Q751" s="163"/>
      <c r="R751" s="163"/>
      <c r="S751" s="163"/>
      <c r="T751" s="163"/>
      <c r="U751" s="178" t="s">
        <v>1458</v>
      </c>
      <c r="V751" s="165"/>
      <c r="W751" s="451">
        <v>0</v>
      </c>
      <c r="X751" s="282">
        <v>50000000</v>
      </c>
      <c r="Y751" s="366">
        <v>28966342</v>
      </c>
    </row>
    <row r="752" spans="1:25">
      <c r="A752" s="162"/>
      <c r="B752" s="163"/>
      <c r="C752" s="163"/>
      <c r="D752" s="163"/>
      <c r="E752" s="163"/>
      <c r="F752" s="163"/>
      <c r="G752" s="163"/>
      <c r="H752" s="163"/>
      <c r="I752" s="163"/>
      <c r="J752" s="163"/>
      <c r="K752" s="163"/>
      <c r="L752" s="163"/>
      <c r="M752" s="163"/>
      <c r="N752" s="163"/>
      <c r="O752" s="163"/>
      <c r="P752" s="163"/>
      <c r="Q752" s="163"/>
      <c r="R752" s="163"/>
      <c r="S752" s="163"/>
      <c r="T752" s="163"/>
      <c r="U752" s="178" t="s">
        <v>1459</v>
      </c>
      <c r="V752" s="165"/>
      <c r="W752" s="451">
        <v>0</v>
      </c>
      <c r="X752" s="282">
        <v>4650000.25</v>
      </c>
      <c r="Y752" s="366"/>
    </row>
    <row r="753" spans="1:25">
      <c r="A753" s="162"/>
      <c r="B753" s="163"/>
      <c r="C753" s="163"/>
      <c r="D753" s="163"/>
      <c r="E753" s="163"/>
      <c r="F753" s="163"/>
      <c r="G753" s="163"/>
      <c r="H753" s="163"/>
      <c r="I753" s="163"/>
      <c r="J753" s="163"/>
      <c r="K753" s="163"/>
      <c r="L753" s="163"/>
      <c r="M753" s="163"/>
      <c r="N753" s="163"/>
      <c r="O753" s="163"/>
      <c r="P753" s="163"/>
      <c r="Q753" s="163"/>
      <c r="R753" s="163"/>
      <c r="S753" s="163"/>
      <c r="T753" s="163"/>
      <c r="U753" s="178" t="s">
        <v>1460</v>
      </c>
      <c r="V753" s="165"/>
      <c r="W753" s="451">
        <v>0</v>
      </c>
      <c r="X753" s="282">
        <v>25192973.100000001</v>
      </c>
      <c r="Y753" s="366">
        <v>20000000</v>
      </c>
    </row>
    <row r="754" spans="1:25">
      <c r="A754" s="162"/>
      <c r="B754" s="163"/>
      <c r="C754" s="163"/>
      <c r="D754" s="163"/>
      <c r="E754" s="163"/>
      <c r="F754" s="163"/>
      <c r="G754" s="163"/>
      <c r="H754" s="163"/>
      <c r="I754" s="163"/>
      <c r="J754" s="163"/>
      <c r="K754" s="163"/>
      <c r="L754" s="163"/>
      <c r="M754" s="163"/>
      <c r="N754" s="163"/>
      <c r="O754" s="163"/>
      <c r="P754" s="163"/>
      <c r="Q754" s="163"/>
      <c r="R754" s="163"/>
      <c r="S754" s="163"/>
      <c r="T754" s="163"/>
      <c r="U754" s="178" t="s">
        <v>2428</v>
      </c>
      <c r="V754" s="165"/>
      <c r="W754" s="451">
        <v>0</v>
      </c>
      <c r="X754" s="282">
        <v>100000000</v>
      </c>
      <c r="Y754" s="366">
        <v>99372887</v>
      </c>
    </row>
    <row r="755" spans="1:25" ht="25.5">
      <c r="A755" s="162"/>
      <c r="B755" s="163"/>
      <c r="C755" s="163"/>
      <c r="D755" s="163"/>
      <c r="E755" s="163"/>
      <c r="F755" s="163"/>
      <c r="G755" s="163"/>
      <c r="H755" s="163"/>
      <c r="I755" s="163"/>
      <c r="J755" s="163"/>
      <c r="K755" s="163"/>
      <c r="L755" s="163"/>
      <c r="M755" s="163"/>
      <c r="N755" s="163"/>
      <c r="O755" s="163"/>
      <c r="P755" s="163"/>
      <c r="Q755" s="163"/>
      <c r="R755" s="163"/>
      <c r="S755" s="163"/>
      <c r="T755" s="163"/>
      <c r="U755" s="178" t="s">
        <v>2429</v>
      </c>
      <c r="V755" s="165"/>
      <c r="W755" s="451">
        <v>0</v>
      </c>
      <c r="X755" s="165"/>
      <c r="Y755" s="165"/>
    </row>
    <row r="756" spans="1:25">
      <c r="A756" s="162"/>
      <c r="B756" s="163"/>
      <c r="C756" s="163"/>
      <c r="D756" s="163"/>
      <c r="E756" s="163"/>
      <c r="F756" s="163"/>
      <c r="G756" s="163"/>
      <c r="H756" s="163"/>
      <c r="I756" s="163"/>
      <c r="J756" s="163"/>
      <c r="K756" s="163"/>
      <c r="L756" s="163"/>
      <c r="M756" s="163"/>
      <c r="N756" s="163"/>
      <c r="O756" s="163"/>
      <c r="P756" s="163"/>
      <c r="Q756" s="163"/>
      <c r="R756" s="163"/>
      <c r="S756" s="163"/>
      <c r="T756" s="163"/>
      <c r="U756" s="178" t="s">
        <v>2430</v>
      </c>
      <c r="V756" s="165"/>
      <c r="W756" s="451">
        <v>0</v>
      </c>
      <c r="X756" s="165"/>
      <c r="Y756" s="165"/>
    </row>
    <row r="757" spans="1:25" ht="38.25">
      <c r="A757" s="162"/>
      <c r="B757" s="163"/>
      <c r="C757" s="163"/>
      <c r="D757" s="163"/>
      <c r="E757" s="163"/>
      <c r="F757" s="163"/>
      <c r="G757" s="163"/>
      <c r="H757" s="163"/>
      <c r="I757" s="163"/>
      <c r="J757" s="163"/>
      <c r="K757" s="163"/>
      <c r="L757" s="163"/>
      <c r="M757" s="163"/>
      <c r="N757" s="163"/>
      <c r="O757" s="163"/>
      <c r="P757" s="163"/>
      <c r="Q757" s="163"/>
      <c r="R757" s="163"/>
      <c r="S757" s="163"/>
      <c r="T757" s="163"/>
      <c r="U757" s="178" t="s">
        <v>2431</v>
      </c>
      <c r="V757" s="165"/>
      <c r="W757" s="451">
        <v>0</v>
      </c>
      <c r="X757" s="165"/>
      <c r="Y757" s="165"/>
    </row>
    <row r="758" spans="1:25">
      <c r="A758" s="162"/>
      <c r="B758" s="163"/>
      <c r="C758" s="163"/>
      <c r="D758" s="163"/>
      <c r="E758" s="163"/>
      <c r="F758" s="163"/>
      <c r="G758" s="163"/>
      <c r="H758" s="163"/>
      <c r="I758" s="163"/>
      <c r="J758" s="163"/>
      <c r="K758" s="163"/>
      <c r="L758" s="163"/>
      <c r="M758" s="163"/>
      <c r="N758" s="163"/>
      <c r="O758" s="163"/>
      <c r="P758" s="163"/>
      <c r="Q758" s="163"/>
      <c r="R758" s="163"/>
      <c r="S758" s="163"/>
      <c r="T758" s="163"/>
      <c r="U758" s="178" t="s">
        <v>2432</v>
      </c>
      <c r="V758" s="165"/>
      <c r="W758" s="451">
        <v>0</v>
      </c>
      <c r="X758" s="165"/>
      <c r="Y758" s="165"/>
    </row>
    <row r="759" spans="1:25" ht="25.5">
      <c r="A759" s="162"/>
      <c r="B759" s="163"/>
      <c r="C759" s="163"/>
      <c r="D759" s="163"/>
      <c r="E759" s="163"/>
      <c r="F759" s="163"/>
      <c r="G759" s="163"/>
      <c r="H759" s="163"/>
      <c r="I759" s="163"/>
      <c r="J759" s="163"/>
      <c r="K759" s="163"/>
      <c r="L759" s="163"/>
      <c r="M759" s="163"/>
      <c r="N759" s="163"/>
      <c r="O759" s="163"/>
      <c r="P759" s="163"/>
      <c r="Q759" s="163"/>
      <c r="R759" s="163"/>
      <c r="S759" s="163"/>
      <c r="T759" s="163"/>
      <c r="U759" s="178" t="s">
        <v>2433</v>
      </c>
      <c r="V759" s="165"/>
      <c r="W759" s="451">
        <v>0</v>
      </c>
      <c r="X759" s="165"/>
      <c r="Y759" s="165"/>
    </row>
    <row r="760" spans="1:25">
      <c r="A760" s="162"/>
      <c r="B760" s="163"/>
      <c r="C760" s="163"/>
      <c r="D760" s="163"/>
      <c r="E760" s="163"/>
      <c r="F760" s="163"/>
      <c r="G760" s="163"/>
      <c r="H760" s="163"/>
      <c r="I760" s="163"/>
      <c r="J760" s="163"/>
      <c r="K760" s="163"/>
      <c r="L760" s="163"/>
      <c r="M760" s="163"/>
      <c r="N760" s="163"/>
      <c r="O760" s="163"/>
      <c r="P760" s="163"/>
      <c r="Q760" s="163"/>
      <c r="R760" s="163"/>
      <c r="S760" s="163"/>
      <c r="T760" s="163"/>
      <c r="U760" s="178" t="s">
        <v>2434</v>
      </c>
      <c r="V760" s="165"/>
      <c r="W760" s="451">
        <v>0</v>
      </c>
      <c r="X760" s="165"/>
      <c r="Y760" s="165"/>
    </row>
    <row r="761" spans="1:25" ht="25.5">
      <c r="A761" s="162"/>
      <c r="B761" s="163"/>
      <c r="C761" s="163"/>
      <c r="D761" s="163"/>
      <c r="E761" s="163"/>
      <c r="F761" s="163"/>
      <c r="G761" s="163"/>
      <c r="H761" s="163"/>
      <c r="I761" s="163"/>
      <c r="J761" s="163"/>
      <c r="K761" s="163"/>
      <c r="L761" s="163"/>
      <c r="M761" s="163"/>
      <c r="N761" s="163"/>
      <c r="O761" s="163"/>
      <c r="P761" s="163"/>
      <c r="Q761" s="163"/>
      <c r="R761" s="163"/>
      <c r="S761" s="163"/>
      <c r="T761" s="163"/>
      <c r="U761" s="178" t="s">
        <v>2435</v>
      </c>
      <c r="V761" s="165"/>
      <c r="W761" s="451">
        <v>0</v>
      </c>
      <c r="X761" s="165"/>
      <c r="Y761" s="165"/>
    </row>
    <row r="762" spans="1:25">
      <c r="A762" s="162"/>
      <c r="B762" s="163"/>
      <c r="C762" s="163"/>
      <c r="D762" s="163"/>
      <c r="E762" s="163"/>
      <c r="F762" s="163"/>
      <c r="G762" s="163"/>
      <c r="H762" s="163"/>
      <c r="I762" s="163"/>
      <c r="J762" s="163"/>
      <c r="K762" s="163"/>
      <c r="L762" s="163"/>
      <c r="M762" s="163"/>
      <c r="N762" s="163"/>
      <c r="O762" s="163"/>
      <c r="P762" s="163"/>
      <c r="Q762" s="163"/>
      <c r="R762" s="163"/>
      <c r="S762" s="163"/>
      <c r="T762" s="163"/>
      <c r="U762" s="178" t="s">
        <v>2436</v>
      </c>
      <c r="V762" s="165"/>
      <c r="W762" s="451">
        <v>0</v>
      </c>
      <c r="X762" s="165"/>
      <c r="Y762" s="165"/>
    </row>
    <row r="763" spans="1:25" ht="25.5">
      <c r="A763" s="162"/>
      <c r="B763" s="163"/>
      <c r="C763" s="163"/>
      <c r="D763" s="163"/>
      <c r="E763" s="163"/>
      <c r="F763" s="163"/>
      <c r="G763" s="163"/>
      <c r="H763" s="163"/>
      <c r="I763" s="163"/>
      <c r="J763" s="163"/>
      <c r="K763" s="163"/>
      <c r="L763" s="163"/>
      <c r="M763" s="163"/>
      <c r="N763" s="163"/>
      <c r="O763" s="163"/>
      <c r="P763" s="163"/>
      <c r="Q763" s="163"/>
      <c r="R763" s="163"/>
      <c r="S763" s="163"/>
      <c r="T763" s="163"/>
      <c r="U763" s="178" t="s">
        <v>2437</v>
      </c>
      <c r="V763" s="165"/>
      <c r="W763" s="451">
        <v>0</v>
      </c>
      <c r="X763" s="165"/>
      <c r="Y763" s="165"/>
    </row>
    <row r="764" spans="1:25" ht="25.5">
      <c r="A764" s="162"/>
      <c r="B764" s="163"/>
      <c r="C764" s="163"/>
      <c r="D764" s="163"/>
      <c r="E764" s="163"/>
      <c r="F764" s="163"/>
      <c r="G764" s="163"/>
      <c r="H764" s="163"/>
      <c r="I764" s="163"/>
      <c r="J764" s="163"/>
      <c r="K764" s="163"/>
      <c r="L764" s="163"/>
      <c r="M764" s="163"/>
      <c r="N764" s="163"/>
      <c r="O764" s="163"/>
      <c r="P764" s="163"/>
      <c r="Q764" s="163"/>
      <c r="R764" s="163"/>
      <c r="S764" s="163"/>
      <c r="T764" s="163"/>
      <c r="U764" s="178" t="s">
        <v>2438</v>
      </c>
      <c r="V764" s="165"/>
      <c r="W764" s="451">
        <v>0</v>
      </c>
      <c r="X764" s="165"/>
      <c r="Y764" s="165"/>
    </row>
    <row r="765" spans="1:25" ht="25.5">
      <c r="A765" s="162"/>
      <c r="B765" s="163"/>
      <c r="C765" s="163"/>
      <c r="D765" s="163"/>
      <c r="E765" s="163"/>
      <c r="F765" s="163"/>
      <c r="G765" s="163"/>
      <c r="H765" s="163"/>
      <c r="I765" s="163"/>
      <c r="J765" s="163"/>
      <c r="K765" s="163"/>
      <c r="L765" s="163"/>
      <c r="M765" s="163"/>
      <c r="N765" s="163"/>
      <c r="O765" s="163"/>
      <c r="P765" s="163"/>
      <c r="Q765" s="163"/>
      <c r="R765" s="163"/>
      <c r="S765" s="163"/>
      <c r="T765" s="163"/>
      <c r="U765" s="178" t="s">
        <v>1461</v>
      </c>
      <c r="V765" s="165"/>
      <c r="W765" s="451">
        <v>0</v>
      </c>
      <c r="X765" s="165"/>
      <c r="Y765" s="165"/>
    </row>
    <row r="766" spans="1:25">
      <c r="A766" s="162"/>
      <c r="B766" s="163"/>
      <c r="C766" s="163"/>
      <c r="D766" s="163"/>
      <c r="E766" s="163"/>
      <c r="F766" s="163"/>
      <c r="G766" s="163"/>
      <c r="H766" s="163"/>
      <c r="I766" s="163"/>
      <c r="J766" s="163"/>
      <c r="K766" s="163"/>
      <c r="L766" s="163"/>
      <c r="M766" s="163"/>
      <c r="N766" s="163"/>
      <c r="O766" s="163"/>
      <c r="P766" s="163"/>
      <c r="Q766" s="163"/>
      <c r="R766" s="163"/>
      <c r="S766" s="163"/>
      <c r="T766" s="163"/>
      <c r="U766" s="178" t="s">
        <v>2439</v>
      </c>
      <c r="V766" s="165"/>
      <c r="W766" s="451">
        <v>0</v>
      </c>
      <c r="X766" s="165"/>
      <c r="Y766" s="165"/>
    </row>
    <row r="767" spans="1:25">
      <c r="A767" s="162"/>
      <c r="B767" s="163"/>
      <c r="C767" s="163"/>
      <c r="D767" s="163"/>
      <c r="E767" s="163"/>
      <c r="F767" s="163"/>
      <c r="G767" s="163"/>
      <c r="H767" s="163"/>
      <c r="I767" s="163"/>
      <c r="J767" s="163"/>
      <c r="K767" s="163"/>
      <c r="L767" s="163"/>
      <c r="M767" s="163"/>
      <c r="N767" s="163"/>
      <c r="O767" s="163"/>
      <c r="P767" s="163"/>
      <c r="Q767" s="163"/>
      <c r="R767" s="163"/>
      <c r="S767" s="163"/>
      <c r="T767" s="163"/>
      <c r="U767" s="178" t="s">
        <v>2440</v>
      </c>
      <c r="V767" s="165"/>
      <c r="W767" s="451">
        <v>0</v>
      </c>
      <c r="X767" s="165"/>
      <c r="Y767" s="165"/>
    </row>
    <row r="768" spans="1:25">
      <c r="A768" s="162"/>
      <c r="B768" s="163"/>
      <c r="C768" s="163"/>
      <c r="D768" s="163"/>
      <c r="E768" s="163"/>
      <c r="F768" s="163"/>
      <c r="G768" s="163"/>
      <c r="H768" s="163"/>
      <c r="I768" s="163"/>
      <c r="J768" s="163"/>
      <c r="K768" s="163"/>
      <c r="L768" s="163"/>
      <c r="M768" s="163"/>
      <c r="N768" s="163"/>
      <c r="O768" s="163"/>
      <c r="P768" s="163"/>
      <c r="Q768" s="163"/>
      <c r="R768" s="163"/>
      <c r="S768" s="163"/>
      <c r="T768" s="163"/>
      <c r="U768" s="178" t="s">
        <v>2441</v>
      </c>
      <c r="V768" s="165"/>
      <c r="W768" s="451">
        <v>0</v>
      </c>
      <c r="X768" s="165"/>
      <c r="Y768" s="165"/>
    </row>
    <row r="769" spans="1:25">
      <c r="A769" s="162"/>
      <c r="B769" s="163"/>
      <c r="C769" s="163"/>
      <c r="D769" s="163"/>
      <c r="E769" s="163"/>
      <c r="F769" s="163"/>
      <c r="G769" s="163"/>
      <c r="H769" s="163"/>
      <c r="I769" s="163"/>
      <c r="J769" s="163"/>
      <c r="K769" s="163"/>
      <c r="L769" s="163"/>
      <c r="M769" s="163"/>
      <c r="N769" s="163"/>
      <c r="O769" s="163"/>
      <c r="P769" s="163"/>
      <c r="Q769" s="163"/>
      <c r="R769" s="163"/>
      <c r="S769" s="163"/>
      <c r="T769" s="163"/>
      <c r="U769" s="178" t="s">
        <v>1462</v>
      </c>
      <c r="V769" s="165"/>
      <c r="W769" s="451">
        <v>0</v>
      </c>
      <c r="X769" s="165"/>
      <c r="Y769" s="165"/>
    </row>
    <row r="770" spans="1:25">
      <c r="A770" s="162"/>
      <c r="B770" s="163"/>
      <c r="C770" s="163"/>
      <c r="D770" s="163"/>
      <c r="E770" s="163"/>
      <c r="F770" s="163"/>
      <c r="G770" s="163"/>
      <c r="H770" s="163"/>
      <c r="I770" s="163"/>
      <c r="J770" s="163"/>
      <c r="K770" s="163"/>
      <c r="L770" s="163"/>
      <c r="M770" s="163"/>
      <c r="N770" s="163"/>
      <c r="O770" s="163"/>
      <c r="P770" s="163"/>
      <c r="Q770" s="163"/>
      <c r="R770" s="163"/>
      <c r="S770" s="163"/>
      <c r="T770" s="163"/>
      <c r="U770" s="178" t="s">
        <v>2443</v>
      </c>
      <c r="V770" s="165"/>
      <c r="W770" s="451">
        <v>0</v>
      </c>
      <c r="X770" s="165"/>
      <c r="Y770" s="165"/>
    </row>
    <row r="771" spans="1:25">
      <c r="A771" s="162"/>
      <c r="B771" s="163"/>
      <c r="C771" s="163"/>
      <c r="D771" s="163"/>
      <c r="E771" s="163"/>
      <c r="F771" s="163"/>
      <c r="G771" s="163"/>
      <c r="H771" s="163"/>
      <c r="I771" s="163"/>
      <c r="J771" s="163"/>
      <c r="K771" s="163"/>
      <c r="L771" s="163"/>
      <c r="M771" s="163"/>
      <c r="N771" s="163"/>
      <c r="O771" s="163"/>
      <c r="P771" s="163"/>
      <c r="Q771" s="163"/>
      <c r="R771" s="163"/>
      <c r="S771" s="163"/>
      <c r="T771" s="163"/>
      <c r="U771" s="178" t="s">
        <v>2442</v>
      </c>
      <c r="V771" s="165"/>
      <c r="W771" s="451">
        <v>0</v>
      </c>
      <c r="X771" s="165"/>
      <c r="Y771" s="165"/>
    </row>
    <row r="772" spans="1:25" ht="25.5">
      <c r="A772" s="162"/>
      <c r="B772" s="163"/>
      <c r="C772" s="163"/>
      <c r="D772" s="163"/>
      <c r="E772" s="163"/>
      <c r="F772" s="163"/>
      <c r="G772" s="163"/>
      <c r="H772" s="163"/>
      <c r="I772" s="163"/>
      <c r="J772" s="163"/>
      <c r="K772" s="163"/>
      <c r="L772" s="163"/>
      <c r="M772" s="163"/>
      <c r="N772" s="163"/>
      <c r="O772" s="163"/>
      <c r="P772" s="163"/>
      <c r="Q772" s="163"/>
      <c r="R772" s="163"/>
      <c r="S772" s="163"/>
      <c r="T772" s="163"/>
      <c r="U772" s="178" t="s">
        <v>2444</v>
      </c>
      <c r="V772" s="165"/>
      <c r="W772" s="451">
        <v>0</v>
      </c>
      <c r="X772" s="165"/>
      <c r="Y772" s="165"/>
    </row>
    <row r="773" spans="1:25">
      <c r="A773" s="162"/>
      <c r="B773" s="205"/>
      <c r="C773" s="205"/>
      <c r="D773" s="205"/>
      <c r="E773" s="179"/>
      <c r="F773" s="179"/>
      <c r="G773" s="179"/>
      <c r="H773" s="179"/>
      <c r="I773" s="179"/>
      <c r="J773" s="179"/>
      <c r="K773" s="179"/>
      <c r="L773" s="179"/>
      <c r="M773" s="179"/>
      <c r="N773" s="179"/>
      <c r="O773" s="179"/>
      <c r="P773" s="179"/>
      <c r="Q773" s="179"/>
      <c r="R773" s="179"/>
      <c r="S773" s="206"/>
      <c r="T773" s="179"/>
      <c r="U773" s="166" t="s">
        <v>1463</v>
      </c>
      <c r="V773" s="165">
        <v>3098999835.9200001</v>
      </c>
      <c r="W773" s="451">
        <v>1725853231.74</v>
      </c>
      <c r="X773" s="163"/>
      <c r="Y773" s="163"/>
    </row>
    <row r="774" spans="1:25" s="184" customFormat="1">
      <c r="A774" s="181"/>
      <c r="B774" s="182"/>
      <c r="C774" s="182"/>
      <c r="D774" s="182"/>
      <c r="E774" s="182"/>
      <c r="F774" s="182"/>
      <c r="G774" s="182"/>
      <c r="H774" s="182"/>
      <c r="I774" s="182"/>
      <c r="J774" s="182"/>
      <c r="K774" s="182"/>
      <c r="L774" s="182"/>
      <c r="M774" s="182"/>
      <c r="N774" s="182"/>
      <c r="O774" s="182"/>
      <c r="P774" s="182"/>
      <c r="Q774" s="182"/>
      <c r="R774" s="182"/>
      <c r="S774" s="182"/>
      <c r="T774" s="182"/>
      <c r="U774" s="183"/>
      <c r="V774" s="168">
        <f t="shared" ref="V774:Y774" si="119">SUM(V735:V773)</f>
        <v>3098999835.9200001</v>
      </c>
      <c r="W774" s="334">
        <f t="shared" ref="W774" si="120">SUM(W735:W773)</f>
        <v>1725853231.74</v>
      </c>
      <c r="X774" s="168">
        <f t="shared" si="119"/>
        <v>2433159096.6900001</v>
      </c>
      <c r="Y774" s="168">
        <f t="shared" si="119"/>
        <v>1163943869.9200001</v>
      </c>
    </row>
    <row r="776" spans="1:25">
      <c r="U776" s="185" t="s">
        <v>1218</v>
      </c>
    </row>
    <row r="777" spans="1:25">
      <c r="U777" s="185" t="s">
        <v>2084</v>
      </c>
    </row>
    <row r="778" spans="1:25" ht="25.5">
      <c r="U778" s="185" t="s">
        <v>191</v>
      </c>
      <c r="V778" s="145">
        <v>60000000</v>
      </c>
    </row>
    <row r="779" spans="1:25">
      <c r="U779" s="185" t="s">
        <v>1087</v>
      </c>
      <c r="V779" s="145">
        <v>11500000</v>
      </c>
    </row>
    <row r="780" spans="1:25">
      <c r="U780" s="185" t="s">
        <v>689</v>
      </c>
      <c r="V780" s="145">
        <v>438376878.38</v>
      </c>
    </row>
    <row r="781" spans="1:25">
      <c r="U781" s="185" t="s">
        <v>691</v>
      </c>
      <c r="V781" s="145">
        <v>521013513.50999999</v>
      </c>
    </row>
    <row r="782" spans="1:25">
      <c r="U782" s="185" t="s">
        <v>1088</v>
      </c>
      <c r="V782" s="359">
        <v>494962837.84500003</v>
      </c>
    </row>
    <row r="783" spans="1:25">
      <c r="U783" s="185" t="s">
        <v>2635</v>
      </c>
      <c r="V783" s="359">
        <v>200000000</v>
      </c>
    </row>
    <row r="784" spans="1:25" ht="13.5" thickBot="1">
      <c r="U784" s="185"/>
      <c r="V784" s="354">
        <f>SUM(V778:V783)</f>
        <v>1725853229.7350001</v>
      </c>
    </row>
    <row r="786" spans="1:25" ht="26.25">
      <c r="A786" s="175" t="s">
        <v>1464</v>
      </c>
      <c r="B786" s="176"/>
      <c r="C786" s="176"/>
      <c r="D786" s="176"/>
      <c r="E786" s="176"/>
      <c r="F786" s="176"/>
      <c r="G786" s="176"/>
      <c r="H786" s="176"/>
      <c r="I786" s="176"/>
      <c r="J786" s="176"/>
      <c r="K786" s="176"/>
      <c r="L786" s="176"/>
      <c r="M786" s="176"/>
      <c r="N786" s="176"/>
      <c r="O786" s="176"/>
      <c r="P786" s="176"/>
      <c r="Q786" s="176"/>
      <c r="R786" s="176"/>
      <c r="S786" s="176"/>
      <c r="T786" s="176"/>
      <c r="U786" s="176"/>
      <c r="V786" s="176"/>
      <c r="W786" s="345"/>
      <c r="X786" s="176"/>
      <c r="Y786" s="176"/>
    </row>
    <row r="787" spans="1:25">
      <c r="A787" s="162"/>
      <c r="B787" s="163"/>
      <c r="C787" s="163"/>
      <c r="D787" s="163"/>
      <c r="E787" s="163"/>
      <c r="F787" s="163"/>
      <c r="G787" s="163"/>
      <c r="H787" s="163"/>
      <c r="I787" s="163"/>
      <c r="J787" s="163"/>
      <c r="K787" s="163"/>
      <c r="L787" s="163"/>
      <c r="M787" s="163"/>
      <c r="N787" s="163"/>
      <c r="O787" s="163"/>
      <c r="P787" s="163"/>
      <c r="Q787" s="163"/>
      <c r="R787" s="163"/>
      <c r="S787" s="163"/>
      <c r="T787" s="163"/>
      <c r="U787" s="178" t="s">
        <v>2445</v>
      </c>
      <c r="V787" s="165"/>
      <c r="W787" s="451">
        <v>0</v>
      </c>
      <c r="X787" s="165"/>
      <c r="Y787" s="165"/>
    </row>
    <row r="788" spans="1:25">
      <c r="A788" s="162"/>
      <c r="B788" s="163"/>
      <c r="C788" s="163"/>
      <c r="D788" s="163"/>
      <c r="E788" s="163"/>
      <c r="F788" s="163"/>
      <c r="G788" s="163"/>
      <c r="H788" s="163"/>
      <c r="I788" s="163"/>
      <c r="J788" s="163"/>
      <c r="K788" s="163"/>
      <c r="L788" s="163"/>
      <c r="M788" s="163"/>
      <c r="N788" s="163"/>
      <c r="O788" s="163"/>
      <c r="P788" s="163"/>
      <c r="Q788" s="163"/>
      <c r="R788" s="163"/>
      <c r="S788" s="163"/>
      <c r="T788" s="163"/>
      <c r="U788" s="178" t="s">
        <v>1465</v>
      </c>
      <c r="V788" s="165"/>
      <c r="W788" s="451">
        <v>60000000</v>
      </c>
      <c r="X788" s="165"/>
      <c r="Y788" s="165"/>
    </row>
    <row r="789" spans="1:25" ht="25.5">
      <c r="A789" s="162"/>
      <c r="B789" s="163"/>
      <c r="C789" s="163"/>
      <c r="D789" s="163"/>
      <c r="E789" s="163"/>
      <c r="F789" s="163"/>
      <c r="G789" s="163"/>
      <c r="H789" s="163"/>
      <c r="I789" s="163"/>
      <c r="J789" s="163"/>
      <c r="K789" s="163"/>
      <c r="L789" s="163"/>
      <c r="M789" s="163"/>
      <c r="N789" s="163"/>
      <c r="O789" s="163"/>
      <c r="P789" s="163"/>
      <c r="Q789" s="163"/>
      <c r="R789" s="163"/>
      <c r="S789" s="163"/>
      <c r="T789" s="163"/>
      <c r="U789" s="178" t="s">
        <v>1466</v>
      </c>
      <c r="V789" s="165"/>
      <c r="W789" s="451">
        <v>30000000</v>
      </c>
      <c r="X789" s="370">
        <v>230000000</v>
      </c>
      <c r="Y789" s="366">
        <v>130000000</v>
      </c>
    </row>
    <row r="790" spans="1:25" ht="38.25">
      <c r="A790" s="162"/>
      <c r="B790" s="179"/>
      <c r="C790" s="179"/>
      <c r="D790" s="179"/>
      <c r="E790" s="179"/>
      <c r="F790" s="179"/>
      <c r="G790" s="179"/>
      <c r="H790" s="179"/>
      <c r="I790" s="179"/>
      <c r="J790" s="179"/>
      <c r="K790" s="179"/>
      <c r="L790" s="179"/>
      <c r="M790" s="179"/>
      <c r="N790" s="179"/>
      <c r="O790" s="179"/>
      <c r="P790" s="179"/>
      <c r="Q790" s="179"/>
      <c r="R790" s="179"/>
      <c r="S790" s="206"/>
      <c r="T790" s="179"/>
      <c r="U790" s="166" t="s">
        <v>1467</v>
      </c>
      <c r="V790" s="165">
        <v>300610000</v>
      </c>
      <c r="W790" s="451">
        <v>0</v>
      </c>
      <c r="X790" s="163"/>
      <c r="Y790" s="163"/>
    </row>
    <row r="791" spans="1:25" ht="25.5">
      <c r="A791" s="162"/>
      <c r="B791" s="179"/>
      <c r="C791" s="179"/>
      <c r="D791" s="179"/>
      <c r="E791" s="179"/>
      <c r="F791" s="179"/>
      <c r="G791" s="179"/>
      <c r="H791" s="179"/>
      <c r="I791" s="179"/>
      <c r="J791" s="179"/>
      <c r="K791" s="179"/>
      <c r="L791" s="179"/>
      <c r="M791" s="179"/>
      <c r="N791" s="179"/>
      <c r="O791" s="179"/>
      <c r="P791" s="179"/>
      <c r="Q791" s="179"/>
      <c r="R791" s="179"/>
      <c r="S791" s="206"/>
      <c r="T791" s="179"/>
      <c r="U791" s="166" t="s">
        <v>1468</v>
      </c>
      <c r="V791" s="165">
        <v>40000000</v>
      </c>
      <c r="W791" s="451">
        <v>0</v>
      </c>
      <c r="X791" s="163"/>
      <c r="Y791" s="163"/>
    </row>
    <row r="792" spans="1:25" ht="25.5">
      <c r="A792" s="162"/>
      <c r="B792" s="179"/>
      <c r="C792" s="179"/>
      <c r="D792" s="179"/>
      <c r="E792" s="179"/>
      <c r="F792" s="179"/>
      <c r="G792" s="179"/>
      <c r="H792" s="179"/>
      <c r="I792" s="179"/>
      <c r="J792" s="179"/>
      <c r="K792" s="179"/>
      <c r="L792" s="179"/>
      <c r="M792" s="179"/>
      <c r="N792" s="179"/>
      <c r="O792" s="179"/>
      <c r="P792" s="179"/>
      <c r="Q792" s="179"/>
      <c r="R792" s="179"/>
      <c r="S792" s="206"/>
      <c r="T792" s="179"/>
      <c r="U792" s="166" t="s">
        <v>1469</v>
      </c>
      <c r="V792" s="165">
        <v>62639000</v>
      </c>
      <c r="W792" s="451">
        <v>0</v>
      </c>
      <c r="X792" s="163"/>
      <c r="Y792" s="163"/>
    </row>
    <row r="793" spans="1:25" ht="25.5">
      <c r="A793" s="162"/>
      <c r="B793" s="179"/>
      <c r="C793" s="179"/>
      <c r="D793" s="179"/>
      <c r="E793" s="179"/>
      <c r="F793" s="179"/>
      <c r="G793" s="179"/>
      <c r="H793" s="179"/>
      <c r="I793" s="179"/>
      <c r="J793" s="179"/>
      <c r="K793" s="179"/>
      <c r="L793" s="179"/>
      <c r="M793" s="179"/>
      <c r="N793" s="179"/>
      <c r="O793" s="179"/>
      <c r="P793" s="179"/>
      <c r="Q793" s="179"/>
      <c r="R793" s="179"/>
      <c r="S793" s="206"/>
      <c r="T793" s="179"/>
      <c r="U793" s="166" t="s">
        <v>1470</v>
      </c>
      <c r="V793" s="165">
        <v>19281000</v>
      </c>
      <c r="W793" s="451">
        <v>0</v>
      </c>
      <c r="X793" s="163"/>
      <c r="Y793" s="163"/>
    </row>
    <row r="794" spans="1:25">
      <c r="A794" s="162"/>
      <c r="B794" s="179"/>
      <c r="C794" s="179"/>
      <c r="D794" s="179"/>
      <c r="E794" s="179"/>
      <c r="F794" s="179"/>
      <c r="G794" s="179"/>
      <c r="H794" s="179"/>
      <c r="I794" s="179"/>
      <c r="J794" s="179"/>
      <c r="K794" s="179"/>
      <c r="L794" s="179"/>
      <c r="M794" s="179"/>
      <c r="N794" s="179"/>
      <c r="O794" s="179"/>
      <c r="P794" s="179"/>
      <c r="Q794" s="179"/>
      <c r="R794" s="179"/>
      <c r="S794" s="206"/>
      <c r="T794" s="179"/>
      <c r="U794" s="166" t="s">
        <v>2447</v>
      </c>
      <c r="V794" s="165">
        <v>11539000</v>
      </c>
      <c r="W794" s="451">
        <v>0</v>
      </c>
      <c r="X794" s="163"/>
      <c r="Y794" s="163"/>
    </row>
    <row r="795" spans="1:25">
      <c r="A795" s="162"/>
      <c r="B795" s="179"/>
      <c r="C795" s="179"/>
      <c r="D795" s="179"/>
      <c r="E795" s="179"/>
      <c r="F795" s="179"/>
      <c r="G795" s="179"/>
      <c r="H795" s="179"/>
      <c r="I795" s="179"/>
      <c r="J795" s="179"/>
      <c r="K795" s="179"/>
      <c r="L795" s="179"/>
      <c r="M795" s="179"/>
      <c r="N795" s="179"/>
      <c r="O795" s="179"/>
      <c r="P795" s="179"/>
      <c r="Q795" s="179"/>
      <c r="R795" s="179"/>
      <c r="S795" s="206"/>
      <c r="T795" s="179"/>
      <c r="U795" s="166" t="s">
        <v>2446</v>
      </c>
      <c r="V795" s="165">
        <v>134976000</v>
      </c>
      <c r="W795" s="451">
        <v>0</v>
      </c>
      <c r="X795" s="163"/>
      <c r="Y795" s="163"/>
    </row>
    <row r="796" spans="1:25" ht="25.5">
      <c r="A796" s="162"/>
      <c r="B796" s="179"/>
      <c r="C796" s="179"/>
      <c r="D796" s="179"/>
      <c r="E796" s="179"/>
      <c r="F796" s="179"/>
      <c r="G796" s="179"/>
      <c r="H796" s="179"/>
      <c r="I796" s="179"/>
      <c r="J796" s="179"/>
      <c r="K796" s="179"/>
      <c r="L796" s="179"/>
      <c r="M796" s="179"/>
      <c r="N796" s="179"/>
      <c r="O796" s="179"/>
      <c r="P796" s="179"/>
      <c r="Q796" s="179"/>
      <c r="R796" s="179"/>
      <c r="S796" s="206"/>
      <c r="T796" s="179"/>
      <c r="U796" s="166" t="s">
        <v>2448</v>
      </c>
      <c r="V796" s="165">
        <v>13097000</v>
      </c>
      <c r="W796" s="451">
        <v>0</v>
      </c>
      <c r="X796" s="163"/>
      <c r="Y796" s="163"/>
    </row>
    <row r="797" spans="1:25" ht="25.5">
      <c r="A797" s="162"/>
      <c r="B797" s="179"/>
      <c r="C797" s="179"/>
      <c r="D797" s="179"/>
      <c r="E797" s="179"/>
      <c r="F797" s="179"/>
      <c r="G797" s="179"/>
      <c r="H797" s="179"/>
      <c r="I797" s="179"/>
      <c r="J797" s="179"/>
      <c r="K797" s="179"/>
      <c r="L797" s="179"/>
      <c r="M797" s="179"/>
      <c r="N797" s="179"/>
      <c r="O797" s="179"/>
      <c r="P797" s="179"/>
      <c r="Q797" s="179"/>
      <c r="R797" s="179"/>
      <c r="S797" s="206"/>
      <c r="T797" s="179"/>
      <c r="U797" s="166" t="s">
        <v>2449</v>
      </c>
      <c r="V797" s="165">
        <v>78858000</v>
      </c>
      <c r="W797" s="451">
        <v>0</v>
      </c>
      <c r="X797" s="163"/>
      <c r="Y797" s="163"/>
    </row>
    <row r="798" spans="1:25">
      <c r="A798" s="162"/>
      <c r="B798" s="179"/>
      <c r="C798" s="179"/>
      <c r="D798" s="179"/>
      <c r="E798" s="179"/>
      <c r="F798" s="179"/>
      <c r="G798" s="179"/>
      <c r="H798" s="179"/>
      <c r="I798" s="179"/>
      <c r="J798" s="179"/>
      <c r="K798" s="179"/>
      <c r="L798" s="179"/>
      <c r="M798" s="179"/>
      <c r="N798" s="179"/>
      <c r="O798" s="179"/>
      <c r="P798" s="179"/>
      <c r="Q798" s="179"/>
      <c r="R798" s="179"/>
      <c r="S798" s="206"/>
      <c r="T798" s="179"/>
      <c r="U798" s="166" t="s">
        <v>1471</v>
      </c>
      <c r="V798" s="165"/>
      <c r="W798" s="451">
        <v>10000000</v>
      </c>
      <c r="X798" s="163"/>
      <c r="Y798" s="163"/>
    </row>
    <row r="799" spans="1:25">
      <c r="A799" s="162"/>
      <c r="B799" s="179"/>
      <c r="C799" s="179"/>
      <c r="D799" s="179"/>
      <c r="E799" s="179"/>
      <c r="F799" s="179"/>
      <c r="G799" s="179"/>
      <c r="H799" s="179"/>
      <c r="I799" s="179"/>
      <c r="J799" s="179"/>
      <c r="K799" s="179"/>
      <c r="L799" s="179"/>
      <c r="M799" s="179"/>
      <c r="N799" s="179"/>
      <c r="O799" s="179"/>
      <c r="P799" s="179"/>
      <c r="Q799" s="179"/>
      <c r="R799" s="179"/>
      <c r="S799" s="206"/>
      <c r="T799" s="179"/>
      <c r="U799" s="166" t="s">
        <v>1472</v>
      </c>
      <c r="V799" s="165"/>
      <c r="W799" s="451">
        <v>7500000</v>
      </c>
      <c r="X799" s="163"/>
      <c r="Y799" s="163"/>
    </row>
    <row r="800" spans="1:25">
      <c r="A800" s="162"/>
      <c r="B800" s="179"/>
      <c r="C800" s="179"/>
      <c r="D800" s="179"/>
      <c r="E800" s="179"/>
      <c r="F800" s="179"/>
      <c r="G800" s="179"/>
      <c r="H800" s="179"/>
      <c r="I800" s="179"/>
      <c r="J800" s="179"/>
      <c r="K800" s="179"/>
      <c r="L800" s="179"/>
      <c r="M800" s="179"/>
      <c r="N800" s="179"/>
      <c r="O800" s="179"/>
      <c r="P800" s="179"/>
      <c r="Q800" s="179"/>
      <c r="R800" s="179"/>
      <c r="S800" s="206"/>
      <c r="T800" s="179"/>
      <c r="U800" s="166" t="s">
        <v>1473</v>
      </c>
      <c r="V800" s="165"/>
      <c r="W800" s="451">
        <v>7500000</v>
      </c>
      <c r="X800" s="163"/>
      <c r="Y800" s="163"/>
    </row>
    <row r="801" spans="1:25">
      <c r="A801" s="162"/>
      <c r="B801" s="179"/>
      <c r="C801" s="179"/>
      <c r="D801" s="179"/>
      <c r="E801" s="179"/>
      <c r="F801" s="179"/>
      <c r="G801" s="179"/>
      <c r="H801" s="179"/>
      <c r="I801" s="179"/>
      <c r="J801" s="179"/>
      <c r="K801" s="179"/>
      <c r="L801" s="179"/>
      <c r="M801" s="179"/>
      <c r="N801" s="179"/>
      <c r="O801" s="179"/>
      <c r="P801" s="179"/>
      <c r="Q801" s="179"/>
      <c r="R801" s="179"/>
      <c r="S801" s="206"/>
      <c r="T801" s="179"/>
      <c r="U801" s="166" t="s">
        <v>1474</v>
      </c>
      <c r="V801" s="165"/>
      <c r="W801" s="451">
        <v>30000000</v>
      </c>
      <c r="X801" s="163"/>
      <c r="Y801" s="163"/>
    </row>
    <row r="802" spans="1:25">
      <c r="A802" s="162"/>
      <c r="B802" s="179"/>
      <c r="C802" s="179"/>
      <c r="D802" s="179"/>
      <c r="E802" s="179"/>
      <c r="F802" s="179"/>
      <c r="G802" s="179"/>
      <c r="H802" s="179"/>
      <c r="I802" s="179"/>
      <c r="J802" s="179"/>
      <c r="K802" s="179"/>
      <c r="L802" s="179"/>
      <c r="M802" s="179"/>
      <c r="N802" s="179"/>
      <c r="O802" s="179"/>
      <c r="P802" s="179"/>
      <c r="Q802" s="179"/>
      <c r="R802" s="179"/>
      <c r="S802" s="206"/>
      <c r="T802" s="179"/>
      <c r="U802" s="166" t="s">
        <v>1475</v>
      </c>
      <c r="V802" s="165"/>
      <c r="W802" s="451">
        <v>6000000</v>
      </c>
      <c r="X802" s="163"/>
      <c r="Y802" s="163"/>
    </row>
    <row r="803" spans="1:25">
      <c r="A803" s="162"/>
      <c r="B803" s="179"/>
      <c r="C803" s="179"/>
      <c r="D803" s="179"/>
      <c r="E803" s="179"/>
      <c r="F803" s="179"/>
      <c r="G803" s="179"/>
      <c r="H803" s="179"/>
      <c r="I803" s="179"/>
      <c r="J803" s="179"/>
      <c r="K803" s="179"/>
      <c r="L803" s="179"/>
      <c r="M803" s="179"/>
      <c r="N803" s="179"/>
      <c r="O803" s="179"/>
      <c r="P803" s="179"/>
      <c r="Q803" s="179"/>
      <c r="R803" s="179"/>
      <c r="S803" s="206"/>
      <c r="T803" s="179"/>
      <c r="U803" s="166" t="s">
        <v>2450</v>
      </c>
      <c r="V803" s="165"/>
      <c r="W803" s="451">
        <v>25000000</v>
      </c>
      <c r="X803" s="163"/>
      <c r="Y803" s="163"/>
    </row>
    <row r="804" spans="1:25">
      <c r="A804" s="162"/>
      <c r="B804" s="179"/>
      <c r="C804" s="179"/>
      <c r="D804" s="179"/>
      <c r="E804" s="179"/>
      <c r="F804" s="179"/>
      <c r="G804" s="179"/>
      <c r="H804" s="179"/>
      <c r="I804" s="179"/>
      <c r="J804" s="179"/>
      <c r="K804" s="179"/>
      <c r="L804" s="179"/>
      <c r="M804" s="179"/>
      <c r="N804" s="179"/>
      <c r="O804" s="179"/>
      <c r="P804" s="179"/>
      <c r="Q804" s="179"/>
      <c r="R804" s="179"/>
      <c r="S804" s="206"/>
      <c r="T804" s="179"/>
      <c r="U804" s="166" t="s">
        <v>1476</v>
      </c>
      <c r="V804" s="165"/>
      <c r="W804" s="451">
        <v>15000000</v>
      </c>
      <c r="X804" s="163"/>
      <c r="Y804" s="163"/>
    </row>
    <row r="805" spans="1:25">
      <c r="A805" s="162"/>
      <c r="B805" s="179"/>
      <c r="C805" s="179"/>
      <c r="D805" s="179"/>
      <c r="E805" s="179"/>
      <c r="F805" s="179"/>
      <c r="G805" s="179"/>
      <c r="H805" s="179"/>
      <c r="I805" s="179"/>
      <c r="J805" s="179"/>
      <c r="K805" s="179"/>
      <c r="L805" s="179"/>
      <c r="M805" s="179"/>
      <c r="N805" s="179"/>
      <c r="O805" s="179"/>
      <c r="P805" s="179"/>
      <c r="Q805" s="179"/>
      <c r="R805" s="179"/>
      <c r="S805" s="206"/>
      <c r="T805" s="179"/>
      <c r="U805" s="166" t="s">
        <v>1477</v>
      </c>
      <c r="V805" s="165"/>
      <c r="W805" s="451">
        <v>30000000</v>
      </c>
      <c r="X805" s="163"/>
      <c r="Y805" s="163"/>
    </row>
    <row r="806" spans="1:25">
      <c r="A806" s="162"/>
      <c r="B806" s="179"/>
      <c r="C806" s="179"/>
      <c r="D806" s="179"/>
      <c r="E806" s="179"/>
      <c r="F806" s="179"/>
      <c r="G806" s="179"/>
      <c r="H806" s="179"/>
      <c r="I806" s="179"/>
      <c r="J806" s="179"/>
      <c r="K806" s="179"/>
      <c r="L806" s="179"/>
      <c r="M806" s="179"/>
      <c r="N806" s="179"/>
      <c r="O806" s="179"/>
      <c r="P806" s="179"/>
      <c r="Q806" s="179"/>
      <c r="R806" s="179"/>
      <c r="S806" s="206"/>
      <c r="T806" s="179"/>
      <c r="U806" s="166" t="s">
        <v>1478</v>
      </c>
      <c r="V806" s="165"/>
      <c r="W806" s="451">
        <v>20000000</v>
      </c>
      <c r="X806" s="163"/>
      <c r="Y806" s="163"/>
    </row>
    <row r="807" spans="1:25">
      <c r="A807" s="162"/>
      <c r="B807" s="179"/>
      <c r="C807" s="179"/>
      <c r="D807" s="179"/>
      <c r="E807" s="179"/>
      <c r="F807" s="179"/>
      <c r="G807" s="179"/>
      <c r="H807" s="179"/>
      <c r="I807" s="179"/>
      <c r="J807" s="179"/>
      <c r="K807" s="179"/>
      <c r="L807" s="179"/>
      <c r="M807" s="179"/>
      <c r="N807" s="179"/>
      <c r="O807" s="179"/>
      <c r="P807" s="179"/>
      <c r="Q807" s="179"/>
      <c r="R807" s="179"/>
      <c r="S807" s="206"/>
      <c r="T807" s="179"/>
      <c r="U807" s="166" t="s">
        <v>1479</v>
      </c>
      <c r="V807" s="165"/>
      <c r="W807" s="451">
        <v>10000000</v>
      </c>
      <c r="X807" s="163"/>
      <c r="Y807" s="163"/>
    </row>
    <row r="808" spans="1:25">
      <c r="A808" s="162"/>
      <c r="B808" s="179"/>
      <c r="C808" s="179"/>
      <c r="D808" s="179"/>
      <c r="E808" s="179"/>
      <c r="F808" s="179"/>
      <c r="G808" s="179"/>
      <c r="H808" s="179"/>
      <c r="I808" s="179"/>
      <c r="J808" s="179"/>
      <c r="K808" s="179"/>
      <c r="L808" s="179"/>
      <c r="M808" s="179"/>
      <c r="N808" s="179"/>
      <c r="O808" s="179"/>
      <c r="P808" s="179"/>
      <c r="Q808" s="179"/>
      <c r="R808" s="179"/>
      <c r="S808" s="206"/>
      <c r="T808" s="179"/>
      <c r="U808" s="368" t="s">
        <v>2451</v>
      </c>
      <c r="V808" s="165"/>
      <c r="W808" s="451">
        <v>0</v>
      </c>
      <c r="X808" s="370">
        <v>50000000</v>
      </c>
      <c r="Y808" s="366"/>
    </row>
    <row r="809" spans="1:25">
      <c r="A809" s="162"/>
      <c r="B809" s="179"/>
      <c r="C809" s="179"/>
      <c r="D809" s="179"/>
      <c r="E809" s="179"/>
      <c r="F809" s="179"/>
      <c r="G809" s="179"/>
      <c r="H809" s="179"/>
      <c r="I809" s="179"/>
      <c r="J809" s="179"/>
      <c r="K809" s="179"/>
      <c r="L809" s="179"/>
      <c r="M809" s="179"/>
      <c r="N809" s="179"/>
      <c r="O809" s="179"/>
      <c r="P809" s="179"/>
      <c r="Q809" s="179"/>
      <c r="R809" s="179"/>
      <c r="S809" s="206"/>
      <c r="T809" s="179"/>
      <c r="U809" s="368" t="s">
        <v>2452</v>
      </c>
      <c r="V809" s="165"/>
      <c r="W809" s="451">
        <v>0</v>
      </c>
      <c r="X809" s="370">
        <v>15000000</v>
      </c>
      <c r="Y809" s="366">
        <v>5000000</v>
      </c>
    </row>
    <row r="810" spans="1:25" s="184" customFormat="1">
      <c r="A810" s="181"/>
      <c r="B810" s="182"/>
      <c r="C810" s="182"/>
      <c r="D810" s="182"/>
      <c r="E810" s="182"/>
      <c r="F810" s="182"/>
      <c r="G810" s="182"/>
      <c r="H810" s="182"/>
      <c r="I810" s="182"/>
      <c r="J810" s="182"/>
      <c r="K810" s="182"/>
      <c r="L810" s="182"/>
      <c r="M810" s="182"/>
      <c r="N810" s="182"/>
      <c r="O810" s="182"/>
      <c r="P810" s="182"/>
      <c r="Q810" s="182"/>
      <c r="R810" s="182"/>
      <c r="S810" s="182"/>
      <c r="T810" s="182"/>
      <c r="U810" s="183"/>
      <c r="V810" s="168">
        <f>SUM(V787:V809)</f>
        <v>661000000</v>
      </c>
      <c r="W810" s="334">
        <f t="shared" ref="W810:Y810" si="121">SUM(W787:W809)</f>
        <v>251000000</v>
      </c>
      <c r="X810" s="168">
        <f t="shared" si="121"/>
        <v>295000000</v>
      </c>
      <c r="Y810" s="168">
        <f t="shared" si="121"/>
        <v>135000000</v>
      </c>
    </row>
    <row r="812" spans="1:25">
      <c r="U812" s="185" t="s">
        <v>1218</v>
      </c>
    </row>
    <row r="813" spans="1:25">
      <c r="U813" s="185" t="s">
        <v>1480</v>
      </c>
      <c r="V813" s="262">
        <v>251000000</v>
      </c>
    </row>
    <row r="816" spans="1:25" ht="26.25">
      <c r="A816" s="175" t="s">
        <v>123</v>
      </c>
      <c r="B816" s="176"/>
      <c r="C816" s="176"/>
      <c r="D816" s="176"/>
      <c r="E816" s="176"/>
      <c r="F816" s="176"/>
      <c r="G816" s="176"/>
      <c r="H816" s="176"/>
      <c r="I816" s="176"/>
      <c r="J816" s="176"/>
      <c r="K816" s="176"/>
      <c r="L816" s="176"/>
      <c r="M816" s="176"/>
      <c r="N816" s="176"/>
      <c r="O816" s="176"/>
      <c r="P816" s="176"/>
      <c r="Q816" s="176"/>
      <c r="R816" s="176"/>
      <c r="S816" s="176"/>
      <c r="T816" s="176"/>
      <c r="U816" s="176"/>
      <c r="V816" s="176"/>
      <c r="W816" s="345"/>
      <c r="X816" s="176"/>
      <c r="Y816" s="176"/>
    </row>
    <row r="817" spans="1:25" ht="25.5">
      <c r="A817" s="162"/>
      <c r="B817" s="163"/>
      <c r="C817" s="163"/>
      <c r="D817" s="163"/>
      <c r="E817" s="163"/>
      <c r="F817" s="163"/>
      <c r="G817" s="163"/>
      <c r="H817" s="163"/>
      <c r="I817" s="163"/>
      <c r="J817" s="163"/>
      <c r="K817" s="163"/>
      <c r="L817" s="163"/>
      <c r="M817" s="163"/>
      <c r="N817" s="163"/>
      <c r="O817" s="163"/>
      <c r="P817" s="163"/>
      <c r="Q817" s="163"/>
      <c r="R817" s="163"/>
      <c r="S817" s="163"/>
      <c r="T817" s="163"/>
      <c r="U817" s="178" t="s">
        <v>2453</v>
      </c>
      <c r="V817" s="165">
        <v>1000000000</v>
      </c>
      <c r="W817" s="451">
        <v>1466513182.8</v>
      </c>
      <c r="X817" s="165"/>
      <c r="Y817" s="165"/>
    </row>
    <row r="818" spans="1:25" ht="38.25">
      <c r="A818" s="162"/>
      <c r="B818" s="163"/>
      <c r="C818" s="163"/>
      <c r="D818" s="163"/>
      <c r="E818" s="163"/>
      <c r="F818" s="163"/>
      <c r="G818" s="163"/>
      <c r="H818" s="163"/>
      <c r="I818" s="163"/>
      <c r="J818" s="163"/>
      <c r="K818" s="163"/>
      <c r="L818" s="163"/>
      <c r="M818" s="163"/>
      <c r="N818" s="163"/>
      <c r="O818" s="163"/>
      <c r="P818" s="163"/>
      <c r="Q818" s="163"/>
      <c r="R818" s="163"/>
      <c r="S818" s="163"/>
      <c r="T818" s="163"/>
      <c r="U818" s="178" t="s">
        <v>2454</v>
      </c>
      <c r="V818" s="165">
        <v>36287984.200000003</v>
      </c>
      <c r="W818" s="451">
        <v>36278984.200000003</v>
      </c>
      <c r="X818" s="165"/>
      <c r="Y818" s="165"/>
    </row>
    <row r="819" spans="1:25" ht="38.25">
      <c r="A819" s="162"/>
      <c r="B819" s="163"/>
      <c r="C819" s="163"/>
      <c r="D819" s="163"/>
      <c r="E819" s="163"/>
      <c r="F819" s="163"/>
      <c r="G819" s="163"/>
      <c r="H819" s="163"/>
      <c r="I819" s="163"/>
      <c r="J819" s="163"/>
      <c r="K819" s="163"/>
      <c r="L819" s="163"/>
      <c r="M819" s="163"/>
      <c r="N819" s="163"/>
      <c r="O819" s="163"/>
      <c r="P819" s="163"/>
      <c r="Q819" s="163"/>
      <c r="R819" s="163"/>
      <c r="S819" s="163"/>
      <c r="T819" s="163"/>
      <c r="U819" s="178" t="s">
        <v>2455</v>
      </c>
      <c r="V819" s="165">
        <v>66762459.859999999</v>
      </c>
      <c r="W819" s="451">
        <v>10000000</v>
      </c>
      <c r="X819" s="165"/>
      <c r="Y819" s="165"/>
    </row>
    <row r="820" spans="1:25" ht="25.5">
      <c r="A820" s="162"/>
      <c r="B820" s="163"/>
      <c r="C820" s="163"/>
      <c r="D820" s="163"/>
      <c r="E820" s="163"/>
      <c r="F820" s="163"/>
      <c r="G820" s="163"/>
      <c r="H820" s="163"/>
      <c r="I820" s="163"/>
      <c r="J820" s="163"/>
      <c r="K820" s="163"/>
      <c r="L820" s="163"/>
      <c r="M820" s="163"/>
      <c r="N820" s="163"/>
      <c r="O820" s="163"/>
      <c r="P820" s="163"/>
      <c r="Q820" s="163"/>
      <c r="R820" s="163"/>
      <c r="S820" s="163"/>
      <c r="T820" s="163"/>
      <c r="U820" s="178" t="s">
        <v>2456</v>
      </c>
      <c r="V820" s="165">
        <v>48995249</v>
      </c>
      <c r="W820" s="451">
        <v>35000000</v>
      </c>
      <c r="X820" s="165"/>
      <c r="Y820" s="165"/>
    </row>
    <row r="821" spans="1:25" ht="25.5">
      <c r="A821" s="162"/>
      <c r="B821" s="163"/>
      <c r="C821" s="163"/>
      <c r="D821" s="163"/>
      <c r="E821" s="163"/>
      <c r="F821" s="163"/>
      <c r="G821" s="163"/>
      <c r="H821" s="163"/>
      <c r="I821" s="163"/>
      <c r="J821" s="163"/>
      <c r="K821" s="163"/>
      <c r="L821" s="163"/>
      <c r="M821" s="163"/>
      <c r="N821" s="163"/>
      <c r="O821" s="163"/>
      <c r="P821" s="163"/>
      <c r="Q821" s="163"/>
      <c r="R821" s="163"/>
      <c r="S821" s="163"/>
      <c r="T821" s="163"/>
      <c r="U821" s="178" t="s">
        <v>1893</v>
      </c>
      <c r="V821" s="165">
        <v>164651943.38999999</v>
      </c>
      <c r="W821" s="451">
        <v>148952175.19</v>
      </c>
      <c r="X821" s="165"/>
      <c r="Y821" s="165"/>
    </row>
    <row r="822" spans="1:25" ht="38.25">
      <c r="A822" s="162"/>
      <c r="B822" s="163"/>
      <c r="C822" s="163"/>
      <c r="D822" s="163"/>
      <c r="E822" s="163"/>
      <c r="F822" s="163"/>
      <c r="G822" s="163"/>
      <c r="H822" s="163"/>
      <c r="I822" s="163"/>
      <c r="J822" s="163"/>
      <c r="K822" s="163"/>
      <c r="L822" s="163"/>
      <c r="M822" s="163"/>
      <c r="N822" s="163"/>
      <c r="O822" s="163"/>
      <c r="P822" s="163"/>
      <c r="Q822" s="163"/>
      <c r="R822" s="163"/>
      <c r="S822" s="163"/>
      <c r="T822" s="163"/>
      <c r="U822" s="178" t="s">
        <v>2457</v>
      </c>
      <c r="V822" s="165">
        <v>69923828.420000002</v>
      </c>
      <c r="W822" s="451">
        <v>42334402.5</v>
      </c>
      <c r="X822" s="165"/>
      <c r="Y822" s="165"/>
    </row>
    <row r="823" spans="1:25" ht="25.5">
      <c r="A823" s="162"/>
      <c r="B823" s="163"/>
      <c r="C823" s="163"/>
      <c r="D823" s="163"/>
      <c r="E823" s="163"/>
      <c r="F823" s="163"/>
      <c r="G823" s="163"/>
      <c r="H823" s="163"/>
      <c r="I823" s="163"/>
      <c r="J823" s="163"/>
      <c r="K823" s="163"/>
      <c r="L823" s="163"/>
      <c r="M823" s="163"/>
      <c r="N823" s="163"/>
      <c r="O823" s="163"/>
      <c r="P823" s="163"/>
      <c r="Q823" s="163"/>
      <c r="R823" s="163"/>
      <c r="S823" s="163"/>
      <c r="T823" s="163"/>
      <c r="U823" s="178" t="s">
        <v>2266</v>
      </c>
      <c r="V823" s="165">
        <v>62900000</v>
      </c>
      <c r="W823" s="451">
        <v>62900000</v>
      </c>
      <c r="X823" s="165"/>
      <c r="Y823" s="165"/>
    </row>
    <row r="824" spans="1:25" ht="25.5">
      <c r="A824" s="162"/>
      <c r="B824" s="163"/>
      <c r="C824" s="163"/>
      <c r="D824" s="163"/>
      <c r="E824" s="163"/>
      <c r="F824" s="163"/>
      <c r="G824" s="163"/>
      <c r="H824" s="163"/>
      <c r="I824" s="163"/>
      <c r="J824" s="163"/>
      <c r="K824" s="163"/>
      <c r="L824" s="163"/>
      <c r="M824" s="163"/>
      <c r="N824" s="163"/>
      <c r="O824" s="163"/>
      <c r="P824" s="163"/>
      <c r="Q824" s="163"/>
      <c r="R824" s="163"/>
      <c r="S824" s="163"/>
      <c r="T824" s="163"/>
      <c r="U824" s="178" t="s">
        <v>1894</v>
      </c>
      <c r="V824" s="165">
        <v>54000000</v>
      </c>
      <c r="W824" s="451">
        <v>54000000</v>
      </c>
      <c r="X824" s="165"/>
      <c r="Y824" s="165"/>
    </row>
    <row r="825" spans="1:25">
      <c r="A825" s="162"/>
      <c r="B825" s="163"/>
      <c r="C825" s="163"/>
      <c r="D825" s="163"/>
      <c r="E825" s="163"/>
      <c r="F825" s="163"/>
      <c r="G825" s="163"/>
      <c r="H825" s="163"/>
      <c r="I825" s="163"/>
      <c r="J825" s="163"/>
      <c r="K825" s="163"/>
      <c r="L825" s="163"/>
      <c r="M825" s="163"/>
      <c r="N825" s="163"/>
      <c r="O825" s="163"/>
      <c r="P825" s="163"/>
      <c r="Q825" s="163"/>
      <c r="R825" s="163"/>
      <c r="S825" s="163"/>
      <c r="T825" s="163"/>
      <c r="U825" s="178" t="s">
        <v>1895</v>
      </c>
      <c r="V825" s="165"/>
      <c r="W825" s="451">
        <v>0</v>
      </c>
      <c r="X825" s="165"/>
      <c r="Y825" s="165"/>
    </row>
    <row r="826" spans="1:25" ht="25.5">
      <c r="A826" s="162"/>
      <c r="B826" s="163"/>
      <c r="C826" s="163"/>
      <c r="D826" s="163"/>
      <c r="E826" s="163"/>
      <c r="F826" s="163"/>
      <c r="G826" s="163"/>
      <c r="H826" s="163"/>
      <c r="I826" s="163"/>
      <c r="J826" s="163"/>
      <c r="K826" s="163"/>
      <c r="L826" s="163"/>
      <c r="M826" s="163"/>
      <c r="N826" s="163"/>
      <c r="O826" s="163"/>
      <c r="P826" s="163"/>
      <c r="Q826" s="163"/>
      <c r="R826" s="163"/>
      <c r="S826" s="163"/>
      <c r="T826" s="163"/>
      <c r="U826" s="178" t="s">
        <v>2267</v>
      </c>
      <c r="V826" s="165">
        <v>20240000</v>
      </c>
      <c r="W826" s="451">
        <v>23847649.399999999</v>
      </c>
      <c r="X826" s="165"/>
      <c r="Y826" s="165"/>
    </row>
    <row r="827" spans="1:25" ht="25.5">
      <c r="A827" s="162"/>
      <c r="B827" s="163"/>
      <c r="C827" s="163"/>
      <c r="D827" s="163"/>
      <c r="E827" s="163"/>
      <c r="F827" s="163"/>
      <c r="G827" s="163"/>
      <c r="H827" s="163"/>
      <c r="I827" s="163"/>
      <c r="J827" s="163"/>
      <c r="K827" s="163"/>
      <c r="L827" s="163"/>
      <c r="M827" s="163"/>
      <c r="N827" s="163"/>
      <c r="O827" s="163"/>
      <c r="P827" s="163"/>
      <c r="Q827" s="163"/>
      <c r="R827" s="163"/>
      <c r="S827" s="163"/>
      <c r="T827" s="163"/>
      <c r="U827" s="178" t="s">
        <v>2268</v>
      </c>
      <c r="V827" s="165">
        <v>65000000</v>
      </c>
      <c r="W827" s="451">
        <v>0</v>
      </c>
      <c r="X827" s="165"/>
      <c r="Y827" s="165"/>
    </row>
    <row r="828" spans="1:25" ht="25.5">
      <c r="A828" s="162"/>
      <c r="B828" s="163"/>
      <c r="C828" s="163"/>
      <c r="D828" s="163"/>
      <c r="E828" s="163"/>
      <c r="F828" s="163"/>
      <c r="G828" s="163"/>
      <c r="H828" s="163"/>
      <c r="I828" s="163"/>
      <c r="J828" s="163"/>
      <c r="K828" s="163"/>
      <c r="L828" s="163"/>
      <c r="M828" s="163"/>
      <c r="N828" s="163"/>
      <c r="O828" s="163"/>
      <c r="P828" s="163"/>
      <c r="Q828" s="163"/>
      <c r="R828" s="163"/>
      <c r="S828" s="163"/>
      <c r="T828" s="163"/>
      <c r="U828" s="178" t="s">
        <v>1481</v>
      </c>
      <c r="V828" s="165"/>
      <c r="W828" s="451">
        <v>5000000</v>
      </c>
      <c r="X828" s="165"/>
      <c r="Y828" s="165"/>
    </row>
    <row r="829" spans="1:25">
      <c r="A829" s="162"/>
      <c r="B829" s="163"/>
      <c r="C829" s="163"/>
      <c r="D829" s="163"/>
      <c r="E829" s="163"/>
      <c r="F829" s="163"/>
      <c r="G829" s="163"/>
      <c r="H829" s="163"/>
      <c r="I829" s="163"/>
      <c r="J829" s="163"/>
      <c r="K829" s="163"/>
      <c r="L829" s="163"/>
      <c r="M829" s="163"/>
      <c r="N829" s="163"/>
      <c r="O829" s="163"/>
      <c r="P829" s="163"/>
      <c r="Q829" s="163"/>
      <c r="R829" s="163"/>
      <c r="S829" s="163"/>
      <c r="T829" s="163"/>
      <c r="U829" s="178" t="s">
        <v>2269</v>
      </c>
      <c r="V829" s="165"/>
      <c r="W829" s="451">
        <v>2039154880</v>
      </c>
      <c r="X829" s="165"/>
      <c r="Y829" s="165"/>
    </row>
    <row r="830" spans="1:25">
      <c r="A830" s="162"/>
      <c r="B830" s="163"/>
      <c r="C830" s="163"/>
      <c r="D830" s="163"/>
      <c r="E830" s="163"/>
      <c r="F830" s="163"/>
      <c r="G830" s="163"/>
      <c r="H830" s="163"/>
      <c r="I830" s="163"/>
      <c r="J830" s="163"/>
      <c r="K830" s="163"/>
      <c r="L830" s="163"/>
      <c r="M830" s="163"/>
      <c r="N830" s="163"/>
      <c r="O830" s="163"/>
      <c r="P830" s="163"/>
      <c r="Q830" s="163"/>
      <c r="R830" s="163"/>
      <c r="S830" s="163"/>
      <c r="T830" s="163"/>
      <c r="U830" s="178" t="s">
        <v>1482</v>
      </c>
      <c r="V830" s="165"/>
      <c r="W830" s="451">
        <v>30000000</v>
      </c>
      <c r="X830" s="165"/>
      <c r="Y830" s="165"/>
    </row>
    <row r="831" spans="1:25" ht="25.5">
      <c r="A831" s="162"/>
      <c r="B831" s="163"/>
      <c r="C831" s="163"/>
      <c r="D831" s="163"/>
      <c r="E831" s="163"/>
      <c r="F831" s="163"/>
      <c r="G831" s="163"/>
      <c r="H831" s="163"/>
      <c r="I831" s="163"/>
      <c r="J831" s="163"/>
      <c r="K831" s="163"/>
      <c r="L831" s="163"/>
      <c r="M831" s="163"/>
      <c r="N831" s="163"/>
      <c r="O831" s="163"/>
      <c r="P831" s="163"/>
      <c r="Q831" s="163"/>
      <c r="R831" s="163"/>
      <c r="S831" s="163"/>
      <c r="T831" s="163"/>
      <c r="U831" s="178" t="s">
        <v>2270</v>
      </c>
      <c r="V831" s="165">
        <v>59416326.539999999</v>
      </c>
      <c r="W831" s="451">
        <v>0</v>
      </c>
      <c r="X831" s="165"/>
      <c r="Y831" s="165"/>
    </row>
    <row r="832" spans="1:25" ht="25.5">
      <c r="A832" s="162"/>
      <c r="B832" s="163"/>
      <c r="C832" s="163"/>
      <c r="D832" s="163"/>
      <c r="E832" s="163"/>
      <c r="F832" s="163"/>
      <c r="G832" s="163"/>
      <c r="H832" s="163"/>
      <c r="I832" s="163"/>
      <c r="J832" s="163"/>
      <c r="K832" s="163"/>
      <c r="L832" s="163"/>
      <c r="M832" s="163"/>
      <c r="N832" s="163"/>
      <c r="O832" s="163"/>
      <c r="P832" s="163"/>
      <c r="Q832" s="163"/>
      <c r="R832" s="163"/>
      <c r="S832" s="163"/>
      <c r="T832" s="163"/>
      <c r="U832" s="178" t="s">
        <v>1483</v>
      </c>
      <c r="V832" s="165">
        <v>86648602.700000003</v>
      </c>
      <c r="W832" s="451">
        <v>0</v>
      </c>
      <c r="X832" s="165"/>
      <c r="Y832" s="165"/>
    </row>
    <row r="833" spans="1:25">
      <c r="A833" s="162"/>
      <c r="B833" s="163"/>
      <c r="C833" s="163"/>
      <c r="D833" s="163"/>
      <c r="E833" s="163"/>
      <c r="F833" s="163"/>
      <c r="G833" s="163"/>
      <c r="H833" s="163"/>
      <c r="I833" s="163"/>
      <c r="J833" s="163"/>
      <c r="K833" s="163"/>
      <c r="L833" s="163"/>
      <c r="M833" s="163"/>
      <c r="N833" s="163"/>
      <c r="O833" s="163"/>
      <c r="P833" s="163"/>
      <c r="Q833" s="163"/>
      <c r="R833" s="163"/>
      <c r="S833" s="163"/>
      <c r="T833" s="163"/>
      <c r="U833" s="178" t="s">
        <v>1896</v>
      </c>
      <c r="V833" s="165"/>
      <c r="W833" s="451">
        <v>10500000</v>
      </c>
      <c r="X833" s="165"/>
      <c r="Y833" s="165"/>
    </row>
    <row r="834" spans="1:25">
      <c r="A834" s="162"/>
      <c r="B834" s="163"/>
      <c r="C834" s="163"/>
      <c r="D834" s="163"/>
      <c r="E834" s="163"/>
      <c r="F834" s="163"/>
      <c r="G834" s="163"/>
      <c r="H834" s="163"/>
      <c r="I834" s="163"/>
      <c r="J834" s="163"/>
      <c r="K834" s="163"/>
      <c r="L834" s="163"/>
      <c r="M834" s="163"/>
      <c r="N834" s="163"/>
      <c r="O834" s="163"/>
      <c r="P834" s="163"/>
      <c r="Q834" s="163"/>
      <c r="R834" s="163"/>
      <c r="S834" s="163"/>
      <c r="T834" s="163"/>
      <c r="U834" s="178" t="s">
        <v>1897</v>
      </c>
      <c r="V834" s="165"/>
      <c r="W834" s="451">
        <v>69283180.400000006</v>
      </c>
      <c r="X834" s="165"/>
      <c r="Y834" s="165"/>
    </row>
    <row r="835" spans="1:25">
      <c r="A835" s="162"/>
      <c r="B835" s="163"/>
      <c r="C835" s="163"/>
      <c r="D835" s="163"/>
      <c r="E835" s="163"/>
      <c r="F835" s="163"/>
      <c r="G835" s="163"/>
      <c r="H835" s="163"/>
      <c r="I835" s="163"/>
      <c r="J835" s="163"/>
      <c r="K835" s="163"/>
      <c r="L835" s="163"/>
      <c r="M835" s="163"/>
      <c r="N835" s="163"/>
      <c r="O835" s="163"/>
      <c r="P835" s="163"/>
      <c r="Q835" s="163"/>
      <c r="R835" s="163"/>
      <c r="S835" s="163"/>
      <c r="T835" s="163"/>
      <c r="U835" s="178" t="s">
        <v>2085</v>
      </c>
      <c r="V835" s="165"/>
      <c r="W835" s="451">
        <v>20000000</v>
      </c>
      <c r="X835" s="165"/>
      <c r="Y835" s="165"/>
    </row>
    <row r="836" spans="1:25" ht="25.5">
      <c r="A836" s="162"/>
      <c r="B836" s="163"/>
      <c r="C836" s="163"/>
      <c r="D836" s="163"/>
      <c r="E836" s="163"/>
      <c r="F836" s="163"/>
      <c r="G836" s="163"/>
      <c r="H836" s="163"/>
      <c r="I836" s="163"/>
      <c r="J836" s="163"/>
      <c r="K836" s="163"/>
      <c r="L836" s="163"/>
      <c r="M836" s="163"/>
      <c r="N836" s="163"/>
      <c r="O836" s="163"/>
      <c r="P836" s="163"/>
      <c r="Q836" s="163"/>
      <c r="R836" s="163"/>
      <c r="S836" s="163"/>
      <c r="T836" s="163"/>
      <c r="U836" s="178" t="s">
        <v>1898</v>
      </c>
      <c r="V836" s="165"/>
      <c r="W836" s="451">
        <v>104974612.8</v>
      </c>
      <c r="X836" s="165"/>
      <c r="Y836" s="165"/>
    </row>
    <row r="837" spans="1:25" ht="25.5">
      <c r="A837" s="162"/>
      <c r="B837" s="163"/>
      <c r="C837" s="163"/>
      <c r="D837" s="163"/>
      <c r="E837" s="163"/>
      <c r="F837" s="163"/>
      <c r="G837" s="163"/>
      <c r="H837" s="163"/>
      <c r="I837" s="163"/>
      <c r="J837" s="163"/>
      <c r="K837" s="163"/>
      <c r="L837" s="163"/>
      <c r="M837" s="163"/>
      <c r="N837" s="163"/>
      <c r="O837" s="163"/>
      <c r="P837" s="163"/>
      <c r="Q837" s="163"/>
      <c r="R837" s="163"/>
      <c r="S837" s="163"/>
      <c r="T837" s="163"/>
      <c r="U837" s="374" t="s">
        <v>2271</v>
      </c>
      <c r="V837" s="165"/>
      <c r="W837" s="451">
        <v>0</v>
      </c>
      <c r="X837" s="375">
        <v>15000000</v>
      </c>
      <c r="Y837" s="284"/>
    </row>
    <row r="838" spans="1:25">
      <c r="A838" s="162"/>
      <c r="B838" s="163"/>
      <c r="C838" s="163"/>
      <c r="D838" s="163"/>
      <c r="E838" s="163"/>
      <c r="F838" s="163"/>
      <c r="G838" s="163"/>
      <c r="H838" s="163"/>
      <c r="I838" s="163"/>
      <c r="J838" s="163"/>
      <c r="K838" s="163"/>
      <c r="L838" s="163"/>
      <c r="M838" s="163"/>
      <c r="N838" s="163"/>
      <c r="O838" s="163"/>
      <c r="P838" s="163"/>
      <c r="Q838" s="163"/>
      <c r="R838" s="163"/>
      <c r="S838" s="163"/>
      <c r="T838" s="163"/>
      <c r="U838" s="374" t="s">
        <v>2272</v>
      </c>
      <c r="V838" s="165"/>
      <c r="W838" s="451">
        <v>0</v>
      </c>
      <c r="X838" s="375">
        <v>5000000</v>
      </c>
      <c r="Y838" s="284"/>
    </row>
    <row r="839" spans="1:25" ht="25.5">
      <c r="A839" s="162"/>
      <c r="B839" s="163"/>
      <c r="C839" s="163"/>
      <c r="D839" s="163"/>
      <c r="E839" s="163"/>
      <c r="F839" s="163"/>
      <c r="G839" s="163"/>
      <c r="H839" s="163"/>
      <c r="I839" s="163"/>
      <c r="J839" s="163"/>
      <c r="K839" s="163"/>
      <c r="L839" s="163"/>
      <c r="M839" s="163"/>
      <c r="N839" s="163"/>
      <c r="O839" s="163"/>
      <c r="P839" s="163"/>
      <c r="Q839" s="163"/>
      <c r="R839" s="163"/>
      <c r="S839" s="163"/>
      <c r="T839" s="163"/>
      <c r="U839" s="374" t="s">
        <v>2273</v>
      </c>
      <c r="V839" s="165"/>
      <c r="W839" s="451">
        <v>0</v>
      </c>
      <c r="X839" s="375">
        <v>20000000</v>
      </c>
      <c r="Y839" s="284">
        <v>1000000</v>
      </c>
    </row>
    <row r="840" spans="1:25" ht="51">
      <c r="A840" s="162"/>
      <c r="B840" s="163"/>
      <c r="C840" s="163"/>
      <c r="D840" s="163"/>
      <c r="E840" s="163"/>
      <c r="F840" s="163"/>
      <c r="G840" s="163"/>
      <c r="H840" s="163"/>
      <c r="I840" s="163"/>
      <c r="J840" s="163"/>
      <c r="K840" s="163"/>
      <c r="L840" s="163"/>
      <c r="M840" s="163"/>
      <c r="N840" s="163"/>
      <c r="O840" s="163"/>
      <c r="P840" s="163"/>
      <c r="Q840" s="163"/>
      <c r="R840" s="163"/>
      <c r="S840" s="163"/>
      <c r="T840" s="163"/>
      <c r="U840" s="374" t="s">
        <v>2098</v>
      </c>
      <c r="V840" s="165"/>
      <c r="W840" s="451">
        <v>0</v>
      </c>
      <c r="X840" s="375">
        <v>150000000</v>
      </c>
      <c r="Y840" s="284">
        <v>300000000</v>
      </c>
    </row>
    <row r="841" spans="1:25" ht="25.5">
      <c r="A841" s="162"/>
      <c r="B841" s="163"/>
      <c r="C841" s="163"/>
      <c r="D841" s="163"/>
      <c r="E841" s="163"/>
      <c r="F841" s="163"/>
      <c r="G841" s="163"/>
      <c r="H841" s="163"/>
      <c r="I841" s="163"/>
      <c r="J841" s="163"/>
      <c r="K841" s="163"/>
      <c r="L841" s="163"/>
      <c r="M841" s="163"/>
      <c r="N841" s="163"/>
      <c r="O841" s="163"/>
      <c r="P841" s="163"/>
      <c r="Q841" s="163"/>
      <c r="R841" s="163"/>
      <c r="S841" s="163"/>
      <c r="T841" s="163"/>
      <c r="U841" s="376" t="s">
        <v>2235</v>
      </c>
      <c r="V841" s="165"/>
      <c r="W841" s="451">
        <v>0</v>
      </c>
      <c r="X841" s="284">
        <v>15000000</v>
      </c>
      <c r="Y841" s="284">
        <v>30000000</v>
      </c>
    </row>
    <row r="842" spans="1:25" ht="25.5">
      <c r="A842" s="162"/>
      <c r="B842" s="163"/>
      <c r="C842" s="163"/>
      <c r="D842" s="163"/>
      <c r="E842" s="163"/>
      <c r="F842" s="163"/>
      <c r="G842" s="163"/>
      <c r="H842" s="163"/>
      <c r="I842" s="163"/>
      <c r="J842" s="163"/>
      <c r="K842" s="163"/>
      <c r="L842" s="163"/>
      <c r="M842" s="163"/>
      <c r="N842" s="163"/>
      <c r="O842" s="163"/>
      <c r="P842" s="163"/>
      <c r="Q842" s="163"/>
      <c r="R842" s="163"/>
      <c r="S842" s="163"/>
      <c r="T842" s="163"/>
      <c r="U842" s="376" t="s">
        <v>2236</v>
      </c>
      <c r="V842" s="165"/>
      <c r="W842" s="451">
        <v>0</v>
      </c>
      <c r="X842" s="284">
        <v>15000000</v>
      </c>
      <c r="Y842" s="284">
        <v>25000000</v>
      </c>
    </row>
    <row r="843" spans="1:25" ht="25.5">
      <c r="A843" s="162"/>
      <c r="B843" s="163"/>
      <c r="C843" s="163"/>
      <c r="D843" s="163"/>
      <c r="E843" s="163"/>
      <c r="F843" s="163"/>
      <c r="G843" s="163"/>
      <c r="H843" s="163"/>
      <c r="I843" s="163"/>
      <c r="J843" s="163"/>
      <c r="K843" s="163"/>
      <c r="L843" s="163"/>
      <c r="M843" s="163"/>
      <c r="N843" s="163"/>
      <c r="O843" s="163"/>
      <c r="P843" s="163"/>
      <c r="Q843" s="163"/>
      <c r="R843" s="163"/>
      <c r="S843" s="163"/>
      <c r="T843" s="163"/>
      <c r="U843" s="376" t="s">
        <v>2274</v>
      </c>
      <c r="V843" s="165"/>
      <c r="W843" s="451">
        <v>0</v>
      </c>
      <c r="X843" s="284">
        <v>10000000</v>
      </c>
      <c r="Y843" s="284">
        <v>20000000</v>
      </c>
    </row>
    <row r="844" spans="1:25" ht="25.5">
      <c r="A844" s="162"/>
      <c r="B844" s="163"/>
      <c r="C844" s="163"/>
      <c r="D844" s="163"/>
      <c r="E844" s="163"/>
      <c r="F844" s="163"/>
      <c r="G844" s="163"/>
      <c r="H844" s="163"/>
      <c r="I844" s="163"/>
      <c r="J844" s="163"/>
      <c r="K844" s="163"/>
      <c r="L844" s="163"/>
      <c r="M844" s="163"/>
      <c r="N844" s="163"/>
      <c r="O844" s="163"/>
      <c r="P844" s="163"/>
      <c r="Q844" s="163"/>
      <c r="R844" s="163"/>
      <c r="S844" s="163"/>
      <c r="T844" s="163"/>
      <c r="U844" s="376" t="s">
        <v>2238</v>
      </c>
      <c r="V844" s="165"/>
      <c r="W844" s="451">
        <v>0</v>
      </c>
      <c r="X844" s="284">
        <v>15000000</v>
      </c>
      <c r="Y844" s="284">
        <v>25000000</v>
      </c>
    </row>
    <row r="845" spans="1:25" ht="25.5">
      <c r="A845" s="162"/>
      <c r="B845" s="163"/>
      <c r="C845" s="163"/>
      <c r="D845" s="163"/>
      <c r="E845" s="163"/>
      <c r="F845" s="163"/>
      <c r="G845" s="163"/>
      <c r="H845" s="163"/>
      <c r="I845" s="163"/>
      <c r="J845" s="163"/>
      <c r="K845" s="163"/>
      <c r="L845" s="163"/>
      <c r="M845" s="163"/>
      <c r="N845" s="163"/>
      <c r="O845" s="163"/>
      <c r="P845" s="163"/>
      <c r="Q845" s="163"/>
      <c r="R845" s="163"/>
      <c r="S845" s="163"/>
      <c r="T845" s="163"/>
      <c r="U845" s="377" t="s">
        <v>2275</v>
      </c>
      <c r="V845" s="165"/>
      <c r="W845" s="451">
        <v>0</v>
      </c>
      <c r="X845" s="284">
        <v>25000000</v>
      </c>
      <c r="Y845" s="284">
        <v>45000000</v>
      </c>
    </row>
    <row r="846" spans="1:25">
      <c r="A846" s="162"/>
      <c r="B846" s="163"/>
      <c r="C846" s="163"/>
      <c r="D846" s="163"/>
      <c r="E846" s="163"/>
      <c r="F846" s="163"/>
      <c r="G846" s="163"/>
      <c r="H846" s="163"/>
      <c r="I846" s="163"/>
      <c r="J846" s="163"/>
      <c r="K846" s="163"/>
      <c r="L846" s="163"/>
      <c r="M846" s="163"/>
      <c r="N846" s="163"/>
      <c r="O846" s="163"/>
      <c r="P846" s="163"/>
      <c r="Q846" s="163"/>
      <c r="R846" s="163"/>
      <c r="S846" s="163"/>
      <c r="T846" s="163"/>
      <c r="U846" s="377" t="s">
        <v>2239</v>
      </c>
      <c r="V846" s="165"/>
      <c r="W846" s="451">
        <v>0</v>
      </c>
      <c r="X846" s="284">
        <v>5000000</v>
      </c>
      <c r="Y846" s="284">
        <v>6000000</v>
      </c>
    </row>
    <row r="847" spans="1:25" s="184" customFormat="1">
      <c r="A847" s="181"/>
      <c r="B847" s="182"/>
      <c r="C847" s="182"/>
      <c r="D847" s="182"/>
      <c r="E847" s="182"/>
      <c r="F847" s="182"/>
      <c r="G847" s="182"/>
      <c r="H847" s="182"/>
      <c r="I847" s="182"/>
      <c r="J847" s="182"/>
      <c r="K847" s="182"/>
      <c r="L847" s="182"/>
      <c r="M847" s="182"/>
      <c r="N847" s="182"/>
      <c r="O847" s="182"/>
      <c r="P847" s="182"/>
      <c r="Q847" s="182"/>
      <c r="R847" s="182"/>
      <c r="S847" s="182"/>
      <c r="T847" s="182"/>
      <c r="U847" s="183"/>
      <c r="V847" s="168">
        <f>SUM(V817:V846)</f>
        <v>1734826394.1099999</v>
      </c>
      <c r="W847" s="334">
        <f t="shared" ref="W847:Y847" si="122">SUM(W817:W846)</f>
        <v>4158739067.2900004</v>
      </c>
      <c r="X847" s="168">
        <f t="shared" si="122"/>
        <v>275000000</v>
      </c>
      <c r="Y847" s="168">
        <f t="shared" si="122"/>
        <v>452000000</v>
      </c>
    </row>
    <row r="849" spans="1:25">
      <c r="U849" s="185" t="s">
        <v>1218</v>
      </c>
    </row>
    <row r="850" spans="1:25">
      <c r="U850" s="144" t="s">
        <v>1484</v>
      </c>
      <c r="V850" s="145">
        <v>2039154880</v>
      </c>
    </row>
    <row r="851" spans="1:25" ht="25.5">
      <c r="U851" s="144" t="s">
        <v>1485</v>
      </c>
      <c r="V851" s="145">
        <v>20000000</v>
      </c>
    </row>
    <row r="852" spans="1:25">
      <c r="U852" s="144" t="s">
        <v>1486</v>
      </c>
      <c r="V852" s="145">
        <v>10500000</v>
      </c>
    </row>
    <row r="853" spans="1:25">
      <c r="U853" s="144" t="s">
        <v>2068</v>
      </c>
      <c r="V853" s="145">
        <v>69283180.400000006</v>
      </c>
    </row>
    <row r="854" spans="1:25" ht="13.5" thickBot="1">
      <c r="V854" s="354">
        <f>SUM(V850:V853)</f>
        <v>2138938060.4000001</v>
      </c>
    </row>
    <row r="855" spans="1:25">
      <c r="V855" s="191"/>
    </row>
    <row r="856" spans="1:25">
      <c r="U856" s="144" t="s">
        <v>2181</v>
      </c>
      <c r="V856" s="191">
        <v>2019801006.8900003</v>
      </c>
    </row>
    <row r="857" spans="1:25">
      <c r="V857" s="191"/>
    </row>
    <row r="858" spans="1:25">
      <c r="V858" s="191"/>
    </row>
    <row r="859" spans="1:25">
      <c r="V859" s="191"/>
    </row>
    <row r="860" spans="1:25" ht="26.25">
      <c r="A860" s="175" t="s">
        <v>2086</v>
      </c>
      <c r="B860" s="176"/>
      <c r="C860" s="176"/>
      <c r="D860" s="176"/>
      <c r="E860" s="176"/>
      <c r="F860" s="176"/>
      <c r="G860" s="176"/>
      <c r="H860" s="176"/>
      <c r="I860" s="176"/>
      <c r="J860" s="176"/>
      <c r="K860" s="176"/>
      <c r="L860" s="176"/>
      <c r="M860" s="176"/>
      <c r="N860" s="176"/>
      <c r="O860" s="176"/>
      <c r="P860" s="176"/>
      <c r="Q860" s="176"/>
      <c r="R860" s="176"/>
      <c r="S860" s="176"/>
      <c r="T860" s="176"/>
      <c r="U860" s="176"/>
      <c r="V860" s="176"/>
      <c r="W860" s="345"/>
      <c r="X860" s="176"/>
      <c r="Y860" s="176"/>
    </row>
    <row r="861" spans="1:25" ht="25.5">
      <c r="A861" s="162"/>
      <c r="B861" s="163"/>
      <c r="C861" s="163"/>
      <c r="D861" s="163"/>
      <c r="E861" s="163"/>
      <c r="F861" s="163"/>
      <c r="G861" s="163"/>
      <c r="H861" s="163"/>
      <c r="I861" s="163"/>
      <c r="J861" s="163"/>
      <c r="K861" s="163"/>
      <c r="L861" s="163"/>
      <c r="M861" s="163"/>
      <c r="N861" s="163"/>
      <c r="O861" s="163"/>
      <c r="P861" s="163"/>
      <c r="Q861" s="163"/>
      <c r="R861" s="163"/>
      <c r="S861" s="163"/>
      <c r="T861" s="163"/>
      <c r="U861" s="178" t="s">
        <v>2262</v>
      </c>
      <c r="V861" s="165">
        <v>50000000</v>
      </c>
      <c r="W861" s="451">
        <v>60150000</v>
      </c>
      <c r="X861" s="165"/>
      <c r="Y861" s="165"/>
    </row>
    <row r="862" spans="1:25" ht="25.5">
      <c r="A862" s="162"/>
      <c r="B862" s="163"/>
      <c r="C862" s="163"/>
      <c r="D862" s="163"/>
      <c r="E862" s="163"/>
      <c r="F862" s="163"/>
      <c r="G862" s="163"/>
      <c r="H862" s="163"/>
      <c r="I862" s="163"/>
      <c r="J862" s="163"/>
      <c r="K862" s="163"/>
      <c r="L862" s="163"/>
      <c r="M862" s="163"/>
      <c r="N862" s="163"/>
      <c r="O862" s="163"/>
      <c r="P862" s="163"/>
      <c r="Q862" s="163"/>
      <c r="R862" s="163"/>
      <c r="S862" s="163"/>
      <c r="T862" s="163"/>
      <c r="U862" s="178" t="s">
        <v>2263</v>
      </c>
      <c r="V862" s="165">
        <v>28000000</v>
      </c>
      <c r="W862" s="451">
        <v>30075000</v>
      </c>
      <c r="X862" s="165"/>
      <c r="Y862" s="165"/>
    </row>
    <row r="863" spans="1:25" ht="25.5">
      <c r="A863" s="162"/>
      <c r="B863" s="163"/>
      <c r="C863" s="163"/>
      <c r="D863" s="163"/>
      <c r="E863" s="163"/>
      <c r="F863" s="163"/>
      <c r="G863" s="163"/>
      <c r="H863" s="163"/>
      <c r="I863" s="163"/>
      <c r="J863" s="163"/>
      <c r="K863" s="163"/>
      <c r="L863" s="163"/>
      <c r="M863" s="163"/>
      <c r="N863" s="163"/>
      <c r="O863" s="163"/>
      <c r="P863" s="163"/>
      <c r="Q863" s="163"/>
      <c r="R863" s="163"/>
      <c r="S863" s="163"/>
      <c r="T863" s="163"/>
      <c r="U863" s="178" t="s">
        <v>2264</v>
      </c>
      <c r="V863" s="165">
        <v>7205257.5</v>
      </c>
      <c r="W863" s="451">
        <v>7280257.5</v>
      </c>
      <c r="X863" s="165"/>
      <c r="Y863" s="165"/>
    </row>
    <row r="864" spans="1:25" ht="25.5">
      <c r="A864" s="162"/>
      <c r="B864" s="163"/>
      <c r="C864" s="163"/>
      <c r="D864" s="163"/>
      <c r="E864" s="163"/>
      <c r="F864" s="163"/>
      <c r="G864" s="163"/>
      <c r="H864" s="163"/>
      <c r="I864" s="163"/>
      <c r="J864" s="163"/>
      <c r="K864" s="163"/>
      <c r="L864" s="163"/>
      <c r="M864" s="163"/>
      <c r="N864" s="163"/>
      <c r="O864" s="163"/>
      <c r="P864" s="163"/>
      <c r="Q864" s="163"/>
      <c r="R864" s="163"/>
      <c r="S864" s="163"/>
      <c r="T864" s="163"/>
      <c r="U864" s="178" t="s">
        <v>2265</v>
      </c>
      <c r="V864" s="165">
        <v>25839047.850000001</v>
      </c>
      <c r="W864" s="451">
        <v>20914047.850000001</v>
      </c>
      <c r="X864" s="165"/>
      <c r="Y864" s="165"/>
    </row>
    <row r="865" spans="1:25">
      <c r="A865" s="162"/>
      <c r="B865" s="163"/>
      <c r="C865" s="163"/>
      <c r="D865" s="163"/>
      <c r="E865" s="163"/>
      <c r="F865" s="163"/>
      <c r="G865" s="163"/>
      <c r="H865" s="163"/>
      <c r="I865" s="163"/>
      <c r="J865" s="163"/>
      <c r="K865" s="163"/>
      <c r="L865" s="163"/>
      <c r="M865" s="163"/>
      <c r="N865" s="163"/>
      <c r="O865" s="163"/>
      <c r="P865" s="163"/>
      <c r="Q865" s="163"/>
      <c r="R865" s="163"/>
      <c r="S865" s="163"/>
      <c r="T865" s="163"/>
      <c r="U865" s="178" t="s">
        <v>68</v>
      </c>
      <c r="V865" s="165"/>
      <c r="W865" s="451">
        <v>8340000</v>
      </c>
      <c r="X865" s="165"/>
      <c r="Y865" s="165"/>
    </row>
    <row r="866" spans="1:25">
      <c r="A866" s="162"/>
      <c r="B866" s="163"/>
      <c r="C866" s="163"/>
      <c r="D866" s="163"/>
      <c r="E866" s="163"/>
      <c r="F866" s="163"/>
      <c r="G866" s="163"/>
      <c r="H866" s="163"/>
      <c r="I866" s="163"/>
      <c r="J866" s="163"/>
      <c r="K866" s="163"/>
      <c r="L866" s="163"/>
      <c r="M866" s="163"/>
      <c r="N866" s="163"/>
      <c r="O866" s="163"/>
      <c r="P866" s="163"/>
      <c r="Q866" s="163"/>
      <c r="R866" s="163"/>
      <c r="S866" s="163"/>
      <c r="T866" s="163"/>
      <c r="U866" s="178" t="s">
        <v>1899</v>
      </c>
      <c r="V866" s="165"/>
      <c r="W866" s="451">
        <v>0</v>
      </c>
      <c r="X866" s="165"/>
      <c r="Y866" s="165"/>
    </row>
    <row r="867" spans="1:25" ht="25.5">
      <c r="A867" s="162"/>
      <c r="B867" s="163"/>
      <c r="C867" s="163"/>
      <c r="D867" s="163"/>
      <c r="E867" s="163"/>
      <c r="F867" s="163"/>
      <c r="G867" s="163"/>
      <c r="H867" s="163"/>
      <c r="I867" s="163"/>
      <c r="J867" s="163"/>
      <c r="K867" s="163"/>
      <c r="L867" s="163"/>
      <c r="M867" s="163"/>
      <c r="N867" s="163"/>
      <c r="O867" s="163"/>
      <c r="P867" s="163"/>
      <c r="Q867" s="163"/>
      <c r="R867" s="163"/>
      <c r="S867" s="163"/>
      <c r="T867" s="163"/>
      <c r="U867" s="178" t="s">
        <v>1487</v>
      </c>
      <c r="V867" s="165"/>
      <c r="W867" s="451">
        <v>0</v>
      </c>
      <c r="X867" s="165"/>
      <c r="Y867" s="165"/>
    </row>
    <row r="868" spans="1:25" ht="25.5">
      <c r="A868" s="162"/>
      <c r="B868" s="163"/>
      <c r="C868" s="163"/>
      <c r="D868" s="163"/>
      <c r="E868" s="163"/>
      <c r="F868" s="163"/>
      <c r="G868" s="163"/>
      <c r="H868" s="163"/>
      <c r="I868" s="163"/>
      <c r="J868" s="163"/>
      <c r="K868" s="163"/>
      <c r="L868" s="163"/>
      <c r="M868" s="163"/>
      <c r="N868" s="163"/>
      <c r="O868" s="163"/>
      <c r="P868" s="163"/>
      <c r="Q868" s="163"/>
      <c r="R868" s="163"/>
      <c r="S868" s="163"/>
      <c r="T868" s="163"/>
      <c r="U868" s="178" t="s">
        <v>1488</v>
      </c>
      <c r="V868" s="165"/>
      <c r="W868" s="451">
        <v>0</v>
      </c>
      <c r="X868" s="165"/>
      <c r="Y868" s="165"/>
    </row>
    <row r="869" spans="1:25" ht="25.5">
      <c r="A869" s="162"/>
      <c r="B869" s="163"/>
      <c r="C869" s="163"/>
      <c r="D869" s="163"/>
      <c r="E869" s="163"/>
      <c r="F869" s="163"/>
      <c r="G869" s="163"/>
      <c r="H869" s="163"/>
      <c r="I869" s="163"/>
      <c r="J869" s="163"/>
      <c r="K869" s="163"/>
      <c r="L869" s="163"/>
      <c r="M869" s="163"/>
      <c r="N869" s="163"/>
      <c r="O869" s="163"/>
      <c r="P869" s="163"/>
      <c r="Q869" s="163"/>
      <c r="R869" s="163"/>
      <c r="S869" s="163"/>
      <c r="T869" s="163"/>
      <c r="U869" s="178" t="s">
        <v>1489</v>
      </c>
      <c r="V869" s="165"/>
      <c r="W869" s="451">
        <v>0</v>
      </c>
      <c r="X869" s="165"/>
      <c r="Y869" s="165"/>
    </row>
    <row r="870" spans="1:25" ht="25.5">
      <c r="A870" s="162"/>
      <c r="B870" s="163"/>
      <c r="C870" s="163"/>
      <c r="D870" s="163"/>
      <c r="E870" s="163"/>
      <c r="F870" s="163"/>
      <c r="G870" s="163"/>
      <c r="H870" s="163"/>
      <c r="I870" s="163"/>
      <c r="J870" s="163"/>
      <c r="K870" s="163"/>
      <c r="L870" s="163"/>
      <c r="M870" s="163"/>
      <c r="N870" s="163"/>
      <c r="O870" s="163"/>
      <c r="P870" s="163"/>
      <c r="Q870" s="163"/>
      <c r="R870" s="163"/>
      <c r="S870" s="163"/>
      <c r="T870" s="163"/>
      <c r="U870" s="178" t="s">
        <v>1490</v>
      </c>
      <c r="V870" s="165"/>
      <c r="W870" s="451">
        <v>0</v>
      </c>
      <c r="X870" s="165"/>
      <c r="Y870" s="165"/>
    </row>
    <row r="871" spans="1:25">
      <c r="A871" s="162"/>
      <c r="B871" s="163"/>
      <c r="C871" s="163"/>
      <c r="D871" s="163"/>
      <c r="E871" s="163"/>
      <c r="F871" s="163"/>
      <c r="G871" s="163"/>
      <c r="H871" s="163"/>
      <c r="I871" s="163"/>
      <c r="J871" s="163"/>
      <c r="K871" s="163"/>
      <c r="L871" s="163"/>
      <c r="M871" s="163"/>
      <c r="N871" s="163"/>
      <c r="O871" s="163"/>
      <c r="P871" s="163"/>
      <c r="Q871" s="163"/>
      <c r="R871" s="163"/>
      <c r="S871" s="163"/>
      <c r="T871" s="163"/>
      <c r="U871" s="178" t="s">
        <v>1900</v>
      </c>
      <c r="V871" s="165"/>
      <c r="W871" s="451">
        <v>0</v>
      </c>
      <c r="X871" s="165"/>
      <c r="Y871" s="165"/>
    </row>
    <row r="872" spans="1:25" ht="25.5">
      <c r="A872" s="162"/>
      <c r="B872" s="163"/>
      <c r="C872" s="163"/>
      <c r="D872" s="163"/>
      <c r="E872" s="163"/>
      <c r="F872" s="163"/>
      <c r="G872" s="163"/>
      <c r="H872" s="163"/>
      <c r="I872" s="163"/>
      <c r="J872" s="163"/>
      <c r="K872" s="163"/>
      <c r="L872" s="163"/>
      <c r="M872" s="163"/>
      <c r="N872" s="163"/>
      <c r="O872" s="163"/>
      <c r="P872" s="163"/>
      <c r="Q872" s="163"/>
      <c r="R872" s="163"/>
      <c r="S872" s="163"/>
      <c r="T872" s="163"/>
      <c r="U872" s="178" t="s">
        <v>1901</v>
      </c>
      <c r="V872" s="165"/>
      <c r="W872" s="451">
        <v>0</v>
      </c>
      <c r="X872" s="165"/>
      <c r="Y872" s="165"/>
    </row>
    <row r="873" spans="1:25" ht="25.5">
      <c r="A873" s="162"/>
      <c r="B873" s="163"/>
      <c r="C873" s="163"/>
      <c r="D873" s="163"/>
      <c r="E873" s="163"/>
      <c r="F873" s="163"/>
      <c r="G873" s="163"/>
      <c r="H873" s="163"/>
      <c r="I873" s="163"/>
      <c r="J873" s="163"/>
      <c r="K873" s="163"/>
      <c r="L873" s="163"/>
      <c r="M873" s="163"/>
      <c r="N873" s="163"/>
      <c r="O873" s="163"/>
      <c r="P873" s="163"/>
      <c r="Q873" s="163"/>
      <c r="R873" s="163"/>
      <c r="S873" s="163"/>
      <c r="T873" s="163"/>
      <c r="U873" s="178" t="s">
        <v>1491</v>
      </c>
      <c r="V873" s="165"/>
      <c r="W873" s="451">
        <v>10045000</v>
      </c>
      <c r="X873" s="165"/>
      <c r="Y873" s="165"/>
    </row>
    <row r="874" spans="1:25" ht="38.25">
      <c r="A874" s="162"/>
      <c r="B874" s="163"/>
      <c r="C874" s="163"/>
      <c r="D874" s="163"/>
      <c r="E874" s="163"/>
      <c r="F874" s="163"/>
      <c r="G874" s="163"/>
      <c r="H874" s="163"/>
      <c r="I874" s="163"/>
      <c r="J874" s="163"/>
      <c r="K874" s="163"/>
      <c r="L874" s="163"/>
      <c r="M874" s="163"/>
      <c r="N874" s="163"/>
      <c r="O874" s="163"/>
      <c r="P874" s="163"/>
      <c r="Q874" s="163"/>
      <c r="R874" s="163"/>
      <c r="S874" s="163"/>
      <c r="T874" s="163"/>
      <c r="U874" s="178" t="s">
        <v>1902</v>
      </c>
      <c r="V874" s="165"/>
      <c r="W874" s="451">
        <v>2017</v>
      </c>
      <c r="X874" s="165"/>
      <c r="Y874" s="165"/>
    </row>
    <row r="875" spans="1:25" ht="25.5">
      <c r="A875" s="162"/>
      <c r="B875" s="163"/>
      <c r="C875" s="163"/>
      <c r="D875" s="163"/>
      <c r="E875" s="163"/>
      <c r="F875" s="163"/>
      <c r="G875" s="163"/>
      <c r="H875" s="163"/>
      <c r="I875" s="163"/>
      <c r="J875" s="163"/>
      <c r="K875" s="163"/>
      <c r="L875" s="163"/>
      <c r="M875" s="163"/>
      <c r="N875" s="163"/>
      <c r="O875" s="163"/>
      <c r="P875" s="163"/>
      <c r="Q875" s="163"/>
      <c r="R875" s="163"/>
      <c r="S875" s="163"/>
      <c r="T875" s="163"/>
      <c r="U875" s="178" t="s">
        <v>1903</v>
      </c>
      <c r="V875" s="165"/>
      <c r="W875" s="451">
        <v>0</v>
      </c>
      <c r="X875" s="165"/>
      <c r="Y875" s="165"/>
    </row>
    <row r="876" spans="1:25">
      <c r="A876" s="162"/>
      <c r="B876" s="163"/>
      <c r="C876" s="163"/>
      <c r="D876" s="163"/>
      <c r="E876" s="163"/>
      <c r="F876" s="163"/>
      <c r="G876" s="163"/>
      <c r="H876" s="163"/>
      <c r="I876" s="163"/>
      <c r="J876" s="163"/>
      <c r="K876" s="163"/>
      <c r="L876" s="163"/>
      <c r="M876" s="163"/>
      <c r="N876" s="163"/>
      <c r="O876" s="163"/>
      <c r="P876" s="163"/>
      <c r="Q876" s="163"/>
      <c r="R876" s="163"/>
      <c r="S876" s="163"/>
      <c r="T876" s="163"/>
      <c r="U876" s="178" t="s">
        <v>1492</v>
      </c>
      <c r="V876" s="165"/>
      <c r="W876" s="451">
        <v>0</v>
      </c>
      <c r="X876" s="165"/>
      <c r="Y876" s="165"/>
    </row>
    <row r="877" spans="1:25" ht="25.5">
      <c r="A877" s="162"/>
      <c r="B877" s="163"/>
      <c r="C877" s="163"/>
      <c r="D877" s="163"/>
      <c r="E877" s="163"/>
      <c r="F877" s="163"/>
      <c r="G877" s="163"/>
      <c r="H877" s="163"/>
      <c r="I877" s="163"/>
      <c r="J877" s="163"/>
      <c r="K877" s="163"/>
      <c r="L877" s="163"/>
      <c r="M877" s="163"/>
      <c r="N877" s="163"/>
      <c r="O877" s="163"/>
      <c r="P877" s="163"/>
      <c r="Q877" s="163"/>
      <c r="R877" s="163"/>
      <c r="S877" s="163"/>
      <c r="T877" s="163"/>
      <c r="U877" s="178" t="s">
        <v>1904</v>
      </c>
      <c r="V877" s="165"/>
      <c r="W877" s="451">
        <v>0</v>
      </c>
      <c r="X877" s="165"/>
      <c r="Y877" s="165"/>
    </row>
    <row r="878" spans="1:25">
      <c r="A878" s="162"/>
      <c r="B878" s="163"/>
      <c r="C878" s="163"/>
      <c r="D878" s="163"/>
      <c r="E878" s="163"/>
      <c r="F878" s="163"/>
      <c r="G878" s="163"/>
      <c r="H878" s="163"/>
      <c r="I878" s="163"/>
      <c r="J878" s="163"/>
      <c r="K878" s="163"/>
      <c r="L878" s="163"/>
      <c r="M878" s="163"/>
      <c r="N878" s="163"/>
      <c r="O878" s="163"/>
      <c r="P878" s="163"/>
      <c r="Q878" s="163"/>
      <c r="R878" s="163"/>
      <c r="S878" s="163"/>
      <c r="T878" s="163"/>
      <c r="U878" s="178" t="s">
        <v>1493</v>
      </c>
      <c r="V878" s="165">
        <v>3508000</v>
      </c>
      <c r="W878" s="451">
        <v>5030000</v>
      </c>
      <c r="X878" s="284">
        <v>3000000</v>
      </c>
      <c r="Y878" s="165"/>
    </row>
    <row r="879" spans="1:25" ht="25.5">
      <c r="A879" s="162"/>
      <c r="B879" s="163"/>
      <c r="C879" s="163"/>
      <c r="D879" s="163"/>
      <c r="E879" s="163"/>
      <c r="F879" s="163"/>
      <c r="G879" s="163"/>
      <c r="H879" s="163"/>
      <c r="I879" s="163"/>
      <c r="J879" s="163"/>
      <c r="K879" s="163"/>
      <c r="L879" s="163"/>
      <c r="M879" s="163"/>
      <c r="N879" s="163"/>
      <c r="O879" s="163"/>
      <c r="P879" s="163"/>
      <c r="Q879" s="163"/>
      <c r="R879" s="163"/>
      <c r="S879" s="163"/>
      <c r="T879" s="163"/>
      <c r="U879" s="178" t="s">
        <v>1905</v>
      </c>
      <c r="V879" s="165">
        <v>400000</v>
      </c>
      <c r="W879" s="451">
        <v>3530000</v>
      </c>
      <c r="X879" s="165"/>
      <c r="Y879" s="165"/>
    </row>
    <row r="880" spans="1:25" ht="25.5">
      <c r="A880" s="162"/>
      <c r="B880" s="163"/>
      <c r="C880" s="163"/>
      <c r="D880" s="163"/>
      <c r="E880" s="163"/>
      <c r="F880" s="163"/>
      <c r="G880" s="163"/>
      <c r="H880" s="163"/>
      <c r="I880" s="163"/>
      <c r="J880" s="163"/>
      <c r="K880" s="163"/>
      <c r="L880" s="163"/>
      <c r="M880" s="163"/>
      <c r="N880" s="163"/>
      <c r="O880" s="163"/>
      <c r="P880" s="163"/>
      <c r="Q880" s="163"/>
      <c r="R880" s="163"/>
      <c r="S880" s="163"/>
      <c r="T880" s="163"/>
      <c r="U880" s="178" t="s">
        <v>1494</v>
      </c>
      <c r="V880" s="165"/>
      <c r="W880" s="451">
        <v>0</v>
      </c>
      <c r="X880" s="284">
        <v>4000000</v>
      </c>
      <c r="Y880" s="165"/>
    </row>
    <row r="881" spans="1:25" ht="25.5">
      <c r="A881" s="162"/>
      <c r="B881" s="163"/>
      <c r="C881" s="163"/>
      <c r="D881" s="163"/>
      <c r="E881" s="163"/>
      <c r="F881" s="163"/>
      <c r="G881" s="163"/>
      <c r="H881" s="163"/>
      <c r="I881" s="163"/>
      <c r="J881" s="163"/>
      <c r="K881" s="163"/>
      <c r="L881" s="163"/>
      <c r="M881" s="163"/>
      <c r="N881" s="163"/>
      <c r="O881" s="163"/>
      <c r="P881" s="163"/>
      <c r="Q881" s="163"/>
      <c r="R881" s="163"/>
      <c r="S881" s="163"/>
      <c r="T881" s="163"/>
      <c r="U881" s="178" t="s">
        <v>1495</v>
      </c>
      <c r="V881" s="165"/>
      <c r="W881" s="451">
        <v>0</v>
      </c>
      <c r="X881" s="284">
        <v>15000000</v>
      </c>
      <c r="Y881" s="165"/>
    </row>
    <row r="882" spans="1:25" ht="25.5">
      <c r="A882" s="162"/>
      <c r="B882" s="163"/>
      <c r="C882" s="163"/>
      <c r="D882" s="163"/>
      <c r="E882" s="163"/>
      <c r="F882" s="163"/>
      <c r="G882" s="163"/>
      <c r="H882" s="163"/>
      <c r="I882" s="163"/>
      <c r="J882" s="163"/>
      <c r="K882" s="163"/>
      <c r="L882" s="163"/>
      <c r="M882" s="163"/>
      <c r="N882" s="163"/>
      <c r="O882" s="163"/>
      <c r="P882" s="163"/>
      <c r="Q882" s="163"/>
      <c r="R882" s="163"/>
      <c r="S882" s="163"/>
      <c r="T882" s="163"/>
      <c r="U882" s="178" t="s">
        <v>1906</v>
      </c>
      <c r="V882" s="165"/>
      <c r="W882" s="451">
        <v>0</v>
      </c>
      <c r="X882" s="284">
        <v>20000000</v>
      </c>
      <c r="Y882" s="284">
        <v>30000000</v>
      </c>
    </row>
    <row r="883" spans="1:25" ht="25.5">
      <c r="A883" s="162"/>
      <c r="B883" s="163"/>
      <c r="C883" s="163"/>
      <c r="D883" s="163"/>
      <c r="E883" s="163"/>
      <c r="F883" s="163"/>
      <c r="G883" s="163"/>
      <c r="H883" s="163"/>
      <c r="I883" s="163"/>
      <c r="J883" s="163"/>
      <c r="K883" s="163"/>
      <c r="L883" s="163"/>
      <c r="M883" s="163"/>
      <c r="N883" s="163"/>
      <c r="O883" s="163"/>
      <c r="P883" s="163"/>
      <c r="Q883" s="163"/>
      <c r="R883" s="163"/>
      <c r="S883" s="163"/>
      <c r="T883" s="163"/>
      <c r="U883" s="178" t="s">
        <v>1496</v>
      </c>
      <c r="V883" s="165"/>
      <c r="W883" s="451">
        <v>1530000</v>
      </c>
      <c r="X883" s="284"/>
      <c r="Y883" s="284"/>
    </row>
    <row r="884" spans="1:25" ht="12.75" customHeight="1">
      <c r="A884" s="162"/>
      <c r="B884" s="163"/>
      <c r="C884" s="163"/>
      <c r="D884" s="163"/>
      <c r="E884" s="163"/>
      <c r="F884" s="163"/>
      <c r="G884" s="163"/>
      <c r="H884" s="163"/>
      <c r="I884" s="163"/>
      <c r="J884" s="163"/>
      <c r="K884" s="163"/>
      <c r="L884" s="163"/>
      <c r="M884" s="163"/>
      <c r="N884" s="163"/>
      <c r="O884" s="163"/>
      <c r="P884" s="163"/>
      <c r="Q884" s="163"/>
      <c r="R884" s="163"/>
      <c r="S884" s="163"/>
      <c r="T884" s="163"/>
      <c r="U884" s="178" t="s">
        <v>1497</v>
      </c>
      <c r="V884" s="165">
        <v>4999999.5</v>
      </c>
      <c r="W884" s="451">
        <v>0</v>
      </c>
      <c r="X884" s="284"/>
      <c r="Y884" s="284"/>
    </row>
    <row r="885" spans="1:25" ht="25.5">
      <c r="A885" s="162"/>
      <c r="B885" s="163"/>
      <c r="C885" s="163"/>
      <c r="D885" s="163"/>
      <c r="E885" s="163"/>
      <c r="F885" s="163"/>
      <c r="G885" s="163"/>
      <c r="H885" s="163"/>
      <c r="I885" s="163"/>
      <c r="J885" s="163"/>
      <c r="K885" s="163"/>
      <c r="L885" s="163"/>
      <c r="M885" s="163"/>
      <c r="N885" s="163"/>
      <c r="O885" s="163"/>
      <c r="P885" s="163"/>
      <c r="Q885" s="163"/>
      <c r="R885" s="163"/>
      <c r="S885" s="163"/>
      <c r="T885" s="163"/>
      <c r="U885" s="178" t="s">
        <v>1498</v>
      </c>
      <c r="V885" s="165"/>
      <c r="W885" s="451">
        <v>6000000</v>
      </c>
      <c r="X885" s="284">
        <v>5000000</v>
      </c>
      <c r="Y885" s="165"/>
    </row>
    <row r="886" spans="1:25" ht="25.5">
      <c r="A886" s="162"/>
      <c r="B886" s="163"/>
      <c r="C886" s="163"/>
      <c r="D886" s="163"/>
      <c r="E886" s="163"/>
      <c r="F886" s="163"/>
      <c r="G886" s="163"/>
      <c r="H886" s="163"/>
      <c r="I886" s="163"/>
      <c r="J886" s="163"/>
      <c r="K886" s="163"/>
      <c r="L886" s="163"/>
      <c r="M886" s="163"/>
      <c r="N886" s="163"/>
      <c r="O886" s="163"/>
      <c r="P886" s="163"/>
      <c r="Q886" s="163"/>
      <c r="R886" s="163"/>
      <c r="S886" s="163"/>
      <c r="T886" s="163"/>
      <c r="U886" s="178" t="s">
        <v>1907</v>
      </c>
      <c r="V886" s="165"/>
      <c r="W886" s="451">
        <v>0</v>
      </c>
      <c r="X886" s="165"/>
      <c r="Y886" s="165"/>
    </row>
    <row r="887" spans="1:25">
      <c r="A887" s="162"/>
      <c r="B887" s="163"/>
      <c r="C887" s="163"/>
      <c r="D887" s="163"/>
      <c r="E887" s="163"/>
      <c r="F887" s="163"/>
      <c r="G887" s="163"/>
      <c r="H887" s="163"/>
      <c r="I887" s="163"/>
      <c r="J887" s="163"/>
      <c r="K887" s="163"/>
      <c r="L887" s="163"/>
      <c r="M887" s="163"/>
      <c r="N887" s="163"/>
      <c r="O887" s="163"/>
      <c r="P887" s="163"/>
      <c r="Q887" s="163"/>
      <c r="R887" s="163"/>
      <c r="S887" s="163"/>
      <c r="T887" s="163"/>
      <c r="U887" s="178" t="s">
        <v>1908</v>
      </c>
      <c r="V887" s="165"/>
      <c r="W887" s="451">
        <v>0</v>
      </c>
      <c r="X887" s="284">
        <v>7000000</v>
      </c>
      <c r="Y887" s="165"/>
    </row>
    <row r="888" spans="1:25" ht="25.5">
      <c r="A888" s="162"/>
      <c r="B888" s="163"/>
      <c r="C888" s="163"/>
      <c r="D888" s="163"/>
      <c r="E888" s="163"/>
      <c r="F888" s="163"/>
      <c r="G888" s="163"/>
      <c r="H888" s="163"/>
      <c r="I888" s="163"/>
      <c r="J888" s="163"/>
      <c r="K888" s="163"/>
      <c r="L888" s="163"/>
      <c r="M888" s="163"/>
      <c r="N888" s="163"/>
      <c r="O888" s="163"/>
      <c r="P888" s="163"/>
      <c r="Q888" s="163"/>
      <c r="R888" s="163"/>
      <c r="S888" s="163"/>
      <c r="T888" s="163"/>
      <c r="U888" s="178" t="s">
        <v>1499</v>
      </c>
      <c r="V888" s="165"/>
      <c r="W888" s="451">
        <v>0</v>
      </c>
      <c r="X888" s="165"/>
      <c r="Y888" s="165"/>
    </row>
    <row r="889" spans="1:25" ht="25.5">
      <c r="A889" s="162"/>
      <c r="B889" s="163"/>
      <c r="C889" s="163"/>
      <c r="D889" s="163"/>
      <c r="E889" s="163"/>
      <c r="F889" s="163"/>
      <c r="G889" s="163"/>
      <c r="H889" s="163"/>
      <c r="I889" s="163"/>
      <c r="J889" s="163"/>
      <c r="K889" s="163"/>
      <c r="L889" s="163"/>
      <c r="M889" s="163"/>
      <c r="N889" s="163"/>
      <c r="O889" s="163"/>
      <c r="P889" s="163"/>
      <c r="Q889" s="163"/>
      <c r="R889" s="163"/>
      <c r="S889" s="163"/>
      <c r="T889" s="163"/>
      <c r="U889" s="178" t="s">
        <v>1500</v>
      </c>
      <c r="V889" s="165"/>
      <c r="W889" s="451">
        <v>300000</v>
      </c>
      <c r="X889" s="165"/>
      <c r="Y889" s="165"/>
    </row>
    <row r="890" spans="1:25" ht="26.25" customHeight="1">
      <c r="A890" s="162"/>
      <c r="B890" s="163"/>
      <c r="C890" s="163"/>
      <c r="D890" s="163"/>
      <c r="E890" s="163"/>
      <c r="F890" s="163"/>
      <c r="G890" s="163"/>
      <c r="H890" s="163"/>
      <c r="I890" s="163"/>
      <c r="J890" s="163"/>
      <c r="K890" s="163"/>
      <c r="L890" s="163"/>
      <c r="M890" s="163"/>
      <c r="N890" s="163"/>
      <c r="O890" s="163"/>
      <c r="P890" s="163"/>
      <c r="Q890" s="163"/>
      <c r="R890" s="163"/>
      <c r="S890" s="163"/>
      <c r="T890" s="163"/>
      <c r="U890" s="178" t="s">
        <v>2087</v>
      </c>
      <c r="V890" s="165"/>
      <c r="W890" s="451">
        <v>12000000</v>
      </c>
      <c r="X890" s="165"/>
      <c r="Y890" s="165"/>
    </row>
    <row r="891" spans="1:25" ht="26.25" customHeight="1">
      <c r="A891" s="162"/>
      <c r="B891" s="163"/>
      <c r="C891" s="163"/>
      <c r="D891" s="163"/>
      <c r="E891" s="163"/>
      <c r="F891" s="163"/>
      <c r="G891" s="163"/>
      <c r="H891" s="163"/>
      <c r="I891" s="163"/>
      <c r="J891" s="163"/>
      <c r="K891" s="163"/>
      <c r="L891" s="163"/>
      <c r="M891" s="163"/>
      <c r="N891" s="163"/>
      <c r="O891" s="163"/>
      <c r="P891" s="163"/>
      <c r="Q891" s="163"/>
      <c r="R891" s="163"/>
      <c r="S891" s="163"/>
      <c r="T891" s="163"/>
      <c r="U891" s="178" t="s">
        <v>2088</v>
      </c>
      <c r="V891" s="165"/>
      <c r="W891" s="451">
        <v>1800000</v>
      </c>
      <c r="X891" s="165"/>
      <c r="Y891" s="165"/>
    </row>
    <row r="892" spans="1:25" ht="25.5">
      <c r="A892" s="162"/>
      <c r="B892" s="163"/>
      <c r="C892" s="163"/>
      <c r="D892" s="163"/>
      <c r="E892" s="163"/>
      <c r="F892" s="163"/>
      <c r="G892" s="163"/>
      <c r="H892" s="163"/>
      <c r="I892" s="163"/>
      <c r="J892" s="163"/>
      <c r="K892" s="163"/>
      <c r="L892" s="163"/>
      <c r="M892" s="163"/>
      <c r="N892" s="163"/>
      <c r="O892" s="163"/>
      <c r="P892" s="163"/>
      <c r="Q892" s="163"/>
      <c r="R892" s="163"/>
      <c r="S892" s="163"/>
      <c r="T892" s="163"/>
      <c r="U892" s="178" t="s">
        <v>1909</v>
      </c>
      <c r="V892" s="165"/>
      <c r="W892" s="451">
        <v>0</v>
      </c>
      <c r="X892" s="284">
        <v>15000000</v>
      </c>
      <c r="Y892" s="165"/>
    </row>
    <row r="893" spans="1:25">
      <c r="A893" s="162"/>
      <c r="B893" s="163"/>
      <c r="C893" s="163"/>
      <c r="D893" s="163"/>
      <c r="E893" s="163"/>
      <c r="F893" s="163"/>
      <c r="G893" s="163"/>
      <c r="H893" s="163"/>
      <c r="I893" s="163"/>
      <c r="J893" s="163"/>
      <c r="K893" s="163"/>
      <c r="L893" s="163"/>
      <c r="M893" s="163"/>
      <c r="N893" s="163"/>
      <c r="O893" s="163"/>
      <c r="P893" s="163"/>
      <c r="Q893" s="163"/>
      <c r="R893" s="163"/>
      <c r="S893" s="163"/>
      <c r="T893" s="163"/>
      <c r="U893" s="178" t="s">
        <v>1501</v>
      </c>
      <c r="V893" s="165"/>
      <c r="W893" s="451">
        <v>0</v>
      </c>
      <c r="X893" s="284">
        <v>11000000</v>
      </c>
      <c r="Y893" s="165"/>
    </row>
    <row r="894" spans="1:25" ht="25.5">
      <c r="A894" s="162"/>
      <c r="B894" s="163"/>
      <c r="C894" s="163"/>
      <c r="D894" s="163"/>
      <c r="E894" s="163"/>
      <c r="F894" s="163"/>
      <c r="G894" s="163"/>
      <c r="H894" s="163"/>
      <c r="I894" s="163"/>
      <c r="J894" s="163"/>
      <c r="K894" s="163"/>
      <c r="L894" s="163"/>
      <c r="M894" s="163"/>
      <c r="N894" s="163"/>
      <c r="O894" s="163"/>
      <c r="P894" s="163"/>
      <c r="Q894" s="163"/>
      <c r="R894" s="163"/>
      <c r="S894" s="163"/>
      <c r="T894" s="163"/>
      <c r="U894" s="178" t="s">
        <v>1910</v>
      </c>
      <c r="V894" s="165"/>
      <c r="W894" s="451">
        <v>0</v>
      </c>
      <c r="X894" s="284">
        <v>10000000</v>
      </c>
      <c r="Y894" s="165"/>
    </row>
    <row r="895" spans="1:25">
      <c r="A895" s="162"/>
      <c r="B895" s="163"/>
      <c r="C895" s="163"/>
      <c r="D895" s="163"/>
      <c r="E895" s="163"/>
      <c r="F895" s="163"/>
      <c r="G895" s="163"/>
      <c r="H895" s="163"/>
      <c r="I895" s="163"/>
      <c r="J895" s="163"/>
      <c r="K895" s="163"/>
      <c r="L895" s="163"/>
      <c r="M895" s="163"/>
      <c r="N895" s="163"/>
      <c r="O895" s="163"/>
      <c r="P895" s="163"/>
      <c r="Q895" s="163"/>
      <c r="R895" s="163"/>
      <c r="S895" s="163"/>
      <c r="T895" s="163"/>
      <c r="U895" s="178" t="s">
        <v>1502</v>
      </c>
      <c r="V895" s="165"/>
      <c r="W895" s="451">
        <v>0</v>
      </c>
      <c r="X895" s="165"/>
      <c r="Y895" s="165"/>
    </row>
    <row r="896" spans="1:25" ht="28.5" customHeight="1">
      <c r="A896" s="162"/>
      <c r="B896" s="163"/>
      <c r="C896" s="163"/>
      <c r="D896" s="163"/>
      <c r="E896" s="163"/>
      <c r="F896" s="163"/>
      <c r="G896" s="163"/>
      <c r="H896" s="163"/>
      <c r="I896" s="163"/>
      <c r="J896" s="163"/>
      <c r="K896" s="163"/>
      <c r="L896" s="163"/>
      <c r="M896" s="163"/>
      <c r="N896" s="163"/>
      <c r="O896" s="163"/>
      <c r="P896" s="163"/>
      <c r="Q896" s="163"/>
      <c r="R896" s="163"/>
      <c r="S896" s="163"/>
      <c r="T896" s="163"/>
      <c r="U896" s="178" t="s">
        <v>1911</v>
      </c>
      <c r="V896" s="165"/>
      <c r="W896" s="451">
        <v>0</v>
      </c>
      <c r="X896" s="284">
        <v>20000000</v>
      </c>
      <c r="Y896" s="284">
        <v>15000000</v>
      </c>
    </row>
    <row r="897" spans="1:25">
      <c r="A897" s="162"/>
      <c r="B897" s="163"/>
      <c r="C897" s="163"/>
      <c r="D897" s="163"/>
      <c r="E897" s="163"/>
      <c r="F897" s="163"/>
      <c r="G897" s="163"/>
      <c r="H897" s="163"/>
      <c r="I897" s="163"/>
      <c r="J897" s="163"/>
      <c r="K897" s="163"/>
      <c r="L897" s="163"/>
      <c r="M897" s="163"/>
      <c r="N897" s="163"/>
      <c r="O897" s="163"/>
      <c r="P897" s="163"/>
      <c r="Q897" s="163"/>
      <c r="R897" s="163"/>
      <c r="S897" s="163"/>
      <c r="T897" s="163"/>
      <c r="U897" s="178" t="s">
        <v>1912</v>
      </c>
      <c r="V897" s="165"/>
      <c r="W897" s="451">
        <v>0</v>
      </c>
      <c r="X897" s="165"/>
      <c r="Y897" s="165"/>
    </row>
    <row r="898" spans="1:25" ht="25.5">
      <c r="A898" s="162"/>
      <c r="B898" s="163"/>
      <c r="C898" s="163"/>
      <c r="D898" s="163"/>
      <c r="E898" s="163"/>
      <c r="F898" s="163"/>
      <c r="G898" s="163"/>
      <c r="H898" s="163"/>
      <c r="I898" s="163"/>
      <c r="J898" s="163"/>
      <c r="K898" s="163"/>
      <c r="L898" s="163"/>
      <c r="M898" s="163"/>
      <c r="N898" s="163"/>
      <c r="O898" s="163"/>
      <c r="P898" s="163"/>
      <c r="Q898" s="163"/>
      <c r="R898" s="163"/>
      <c r="S898" s="163"/>
      <c r="T898" s="163"/>
      <c r="U898" s="178" t="s">
        <v>1503</v>
      </c>
      <c r="V898" s="165"/>
      <c r="W898" s="451">
        <v>0</v>
      </c>
      <c r="X898" s="165"/>
      <c r="Y898" s="165"/>
    </row>
    <row r="899" spans="1:25" ht="25.5">
      <c r="A899" s="162"/>
      <c r="B899" s="163"/>
      <c r="C899" s="163"/>
      <c r="D899" s="163"/>
      <c r="E899" s="163"/>
      <c r="F899" s="163"/>
      <c r="G899" s="163"/>
      <c r="H899" s="163"/>
      <c r="I899" s="163"/>
      <c r="J899" s="163"/>
      <c r="K899" s="163"/>
      <c r="L899" s="163"/>
      <c r="M899" s="163"/>
      <c r="N899" s="163"/>
      <c r="O899" s="163"/>
      <c r="P899" s="163"/>
      <c r="Q899" s="163"/>
      <c r="R899" s="163"/>
      <c r="S899" s="163"/>
      <c r="T899" s="163"/>
      <c r="U899" s="178" t="s">
        <v>1504</v>
      </c>
      <c r="V899" s="165"/>
      <c r="W899" s="451">
        <v>0</v>
      </c>
      <c r="X899" s="165"/>
      <c r="Y899" s="165"/>
    </row>
    <row r="900" spans="1:25" ht="25.5">
      <c r="A900" s="162"/>
      <c r="B900" s="163"/>
      <c r="C900" s="163"/>
      <c r="D900" s="163"/>
      <c r="E900" s="163"/>
      <c r="F900" s="163"/>
      <c r="G900" s="163"/>
      <c r="H900" s="163"/>
      <c r="I900" s="163"/>
      <c r="J900" s="163"/>
      <c r="K900" s="163"/>
      <c r="L900" s="163"/>
      <c r="M900" s="163"/>
      <c r="N900" s="163"/>
      <c r="O900" s="163"/>
      <c r="P900" s="163"/>
      <c r="Q900" s="163"/>
      <c r="R900" s="163"/>
      <c r="S900" s="163"/>
      <c r="T900" s="163"/>
      <c r="U900" s="178" t="s">
        <v>1913</v>
      </c>
      <c r="V900" s="165"/>
      <c r="W900" s="451">
        <v>0</v>
      </c>
      <c r="X900" s="165"/>
      <c r="Y900" s="165"/>
    </row>
    <row r="901" spans="1:25" ht="25.5">
      <c r="A901" s="162"/>
      <c r="B901" s="163"/>
      <c r="C901" s="163"/>
      <c r="D901" s="163"/>
      <c r="E901" s="163"/>
      <c r="F901" s="163"/>
      <c r="G901" s="163"/>
      <c r="H901" s="163"/>
      <c r="I901" s="163"/>
      <c r="J901" s="163"/>
      <c r="K901" s="163"/>
      <c r="L901" s="163"/>
      <c r="M901" s="163"/>
      <c r="N901" s="163"/>
      <c r="O901" s="163"/>
      <c r="P901" s="163"/>
      <c r="Q901" s="163"/>
      <c r="R901" s="163"/>
      <c r="S901" s="163"/>
      <c r="T901" s="163"/>
      <c r="U901" s="178" t="s">
        <v>1914</v>
      </c>
      <c r="V901" s="165"/>
      <c r="W901" s="451">
        <v>20000000</v>
      </c>
      <c r="X901" s="165"/>
      <c r="Y901" s="165"/>
    </row>
    <row r="902" spans="1:25" ht="25.5">
      <c r="A902" s="162"/>
      <c r="B902" s="179"/>
      <c r="C902" s="179"/>
      <c r="D902" s="179"/>
      <c r="E902" s="179"/>
      <c r="F902" s="179"/>
      <c r="G902" s="179"/>
      <c r="H902" s="179"/>
      <c r="I902" s="179"/>
      <c r="J902" s="179"/>
      <c r="K902" s="179"/>
      <c r="L902" s="179"/>
      <c r="M902" s="179"/>
      <c r="N902" s="179"/>
      <c r="O902" s="179"/>
      <c r="P902" s="179"/>
      <c r="Q902" s="179"/>
      <c r="R902" s="179"/>
      <c r="S902" s="180"/>
      <c r="T902" s="179"/>
      <c r="U902" s="166" t="s">
        <v>1505</v>
      </c>
      <c r="V902" s="165">
        <v>4778025</v>
      </c>
      <c r="W902" s="451">
        <v>0</v>
      </c>
      <c r="X902" s="163"/>
      <c r="Y902" s="163"/>
    </row>
    <row r="903" spans="1:25" ht="25.5">
      <c r="A903" s="162"/>
      <c r="B903" s="179"/>
      <c r="C903" s="179"/>
      <c r="D903" s="179"/>
      <c r="E903" s="179"/>
      <c r="F903" s="179"/>
      <c r="G903" s="179"/>
      <c r="H903" s="179"/>
      <c r="I903" s="179"/>
      <c r="J903" s="179"/>
      <c r="K903" s="179"/>
      <c r="L903" s="179"/>
      <c r="M903" s="179"/>
      <c r="N903" s="179"/>
      <c r="O903" s="179"/>
      <c r="P903" s="179"/>
      <c r="Q903" s="179"/>
      <c r="R903" s="179"/>
      <c r="S903" s="180"/>
      <c r="T903" s="179"/>
      <c r="U903" s="166" t="s">
        <v>1506</v>
      </c>
      <c r="V903" s="165">
        <v>62301.3</v>
      </c>
      <c r="W903" s="451">
        <v>0</v>
      </c>
      <c r="X903" s="163"/>
      <c r="Y903" s="163"/>
    </row>
    <row r="904" spans="1:25" ht="25.5">
      <c r="A904" s="162"/>
      <c r="B904" s="179"/>
      <c r="C904" s="179"/>
      <c r="D904" s="179"/>
      <c r="E904" s="179"/>
      <c r="F904" s="179"/>
      <c r="G904" s="179"/>
      <c r="H904" s="179"/>
      <c r="I904" s="179"/>
      <c r="J904" s="179"/>
      <c r="K904" s="179"/>
      <c r="L904" s="179"/>
      <c r="M904" s="179"/>
      <c r="N904" s="179"/>
      <c r="O904" s="179"/>
      <c r="P904" s="179"/>
      <c r="Q904" s="179"/>
      <c r="R904" s="179"/>
      <c r="S904" s="180"/>
      <c r="T904" s="179"/>
      <c r="U904" s="166" t="s">
        <v>1507</v>
      </c>
      <c r="V904" s="165">
        <v>248745.2</v>
      </c>
      <c r="W904" s="451">
        <v>0</v>
      </c>
      <c r="X904" s="163"/>
      <c r="Y904" s="163"/>
    </row>
    <row r="905" spans="1:25" ht="25.5">
      <c r="A905" s="162"/>
      <c r="B905" s="179"/>
      <c r="C905" s="179"/>
      <c r="D905" s="179"/>
      <c r="E905" s="179"/>
      <c r="F905" s="179"/>
      <c r="G905" s="179"/>
      <c r="H905" s="179"/>
      <c r="I905" s="179"/>
      <c r="J905" s="179"/>
      <c r="K905" s="179"/>
      <c r="L905" s="179"/>
      <c r="M905" s="179"/>
      <c r="N905" s="179"/>
      <c r="O905" s="179"/>
      <c r="P905" s="179"/>
      <c r="Q905" s="179"/>
      <c r="R905" s="179"/>
      <c r="S905" s="180"/>
      <c r="T905" s="179"/>
      <c r="U905" s="166" t="s">
        <v>1508</v>
      </c>
      <c r="V905" s="165">
        <v>3501330</v>
      </c>
      <c r="W905" s="451">
        <v>0</v>
      </c>
      <c r="X905" s="163"/>
      <c r="Y905" s="163"/>
    </row>
    <row r="906" spans="1:25" ht="25.5">
      <c r="A906" s="162"/>
      <c r="B906" s="179"/>
      <c r="C906" s="179"/>
      <c r="D906" s="179"/>
      <c r="E906" s="179"/>
      <c r="F906" s="179"/>
      <c r="G906" s="179"/>
      <c r="H906" s="179"/>
      <c r="I906" s="179"/>
      <c r="J906" s="179"/>
      <c r="K906" s="179"/>
      <c r="L906" s="179"/>
      <c r="M906" s="179"/>
      <c r="N906" s="179"/>
      <c r="O906" s="179"/>
      <c r="P906" s="179"/>
      <c r="Q906" s="179"/>
      <c r="R906" s="179"/>
      <c r="S906" s="180"/>
      <c r="T906" s="179"/>
      <c r="U906" s="166" t="s">
        <v>1915</v>
      </c>
      <c r="V906" s="165">
        <v>1422442.9</v>
      </c>
      <c r="W906" s="451">
        <v>0</v>
      </c>
      <c r="X906" s="163"/>
      <c r="Y906" s="163"/>
    </row>
    <row r="907" spans="1:25" ht="12" customHeight="1">
      <c r="A907" s="162"/>
      <c r="B907" s="179"/>
      <c r="C907" s="179"/>
      <c r="D907" s="179"/>
      <c r="E907" s="179"/>
      <c r="F907" s="179"/>
      <c r="G907" s="179"/>
      <c r="H907" s="179"/>
      <c r="I907" s="179"/>
      <c r="J907" s="179"/>
      <c r="K907" s="179"/>
      <c r="L907" s="179"/>
      <c r="M907" s="179"/>
      <c r="N907" s="179"/>
      <c r="O907" s="179"/>
      <c r="P907" s="179"/>
      <c r="Q907" s="179"/>
      <c r="R907" s="179"/>
      <c r="S907" s="180"/>
      <c r="T907" s="179"/>
      <c r="U907" s="166" t="s">
        <v>1509</v>
      </c>
      <c r="V907" s="165">
        <v>4000000</v>
      </c>
      <c r="W907" s="451">
        <v>0</v>
      </c>
      <c r="X907" s="163"/>
      <c r="Y907" s="163"/>
    </row>
    <row r="908" spans="1:25" ht="25.5">
      <c r="A908" s="162"/>
      <c r="B908" s="179"/>
      <c r="C908" s="179"/>
      <c r="D908" s="179"/>
      <c r="E908" s="179"/>
      <c r="F908" s="179"/>
      <c r="G908" s="179"/>
      <c r="H908" s="179"/>
      <c r="I908" s="179"/>
      <c r="J908" s="179"/>
      <c r="K908" s="179"/>
      <c r="L908" s="179"/>
      <c r="M908" s="179"/>
      <c r="N908" s="179"/>
      <c r="O908" s="179"/>
      <c r="P908" s="179"/>
      <c r="Q908" s="179"/>
      <c r="R908" s="179"/>
      <c r="S908" s="180"/>
      <c r="T908" s="179"/>
      <c r="U908" s="166" t="s">
        <v>1916</v>
      </c>
      <c r="V908" s="165">
        <v>4000000</v>
      </c>
      <c r="W908" s="451">
        <v>0</v>
      </c>
      <c r="X908" s="163"/>
      <c r="Y908" s="163"/>
    </row>
    <row r="909" spans="1:25" ht="38.25">
      <c r="A909" s="162"/>
      <c r="B909" s="179"/>
      <c r="C909" s="179"/>
      <c r="D909" s="179"/>
      <c r="E909" s="179"/>
      <c r="F909" s="179"/>
      <c r="G909" s="179"/>
      <c r="H909" s="179"/>
      <c r="I909" s="179"/>
      <c r="J909" s="179"/>
      <c r="K909" s="179"/>
      <c r="L909" s="179"/>
      <c r="M909" s="179"/>
      <c r="N909" s="179"/>
      <c r="O909" s="179"/>
      <c r="P909" s="179"/>
      <c r="Q909" s="179"/>
      <c r="R909" s="179"/>
      <c r="S909" s="180"/>
      <c r="T909" s="179"/>
      <c r="U909" s="166" t="s">
        <v>1510</v>
      </c>
      <c r="V909" s="165">
        <v>1497300</v>
      </c>
      <c r="W909" s="451">
        <v>0</v>
      </c>
      <c r="X909" s="163"/>
      <c r="Y909" s="163"/>
    </row>
    <row r="910" spans="1:25" ht="25.5">
      <c r="A910" s="162"/>
      <c r="B910" s="179"/>
      <c r="C910" s="179"/>
      <c r="D910" s="179"/>
      <c r="E910" s="179"/>
      <c r="F910" s="179"/>
      <c r="G910" s="179"/>
      <c r="H910" s="179"/>
      <c r="I910" s="179"/>
      <c r="J910" s="179"/>
      <c r="K910" s="179"/>
      <c r="L910" s="179"/>
      <c r="M910" s="179"/>
      <c r="N910" s="179"/>
      <c r="O910" s="179"/>
      <c r="P910" s="179"/>
      <c r="Q910" s="179"/>
      <c r="R910" s="179"/>
      <c r="S910" s="180"/>
      <c r="T910" s="179"/>
      <c r="U910" s="166" t="s">
        <v>1511</v>
      </c>
      <c r="V910" s="165">
        <v>2036816.25</v>
      </c>
      <c r="W910" s="451">
        <v>0</v>
      </c>
      <c r="X910" s="163"/>
      <c r="Y910" s="163"/>
    </row>
    <row r="911" spans="1:25" ht="25.5">
      <c r="A911" s="162"/>
      <c r="B911" s="179"/>
      <c r="C911" s="179"/>
      <c r="D911" s="179"/>
      <c r="E911" s="179"/>
      <c r="F911" s="179"/>
      <c r="G911" s="179"/>
      <c r="H911" s="179"/>
      <c r="I911" s="179"/>
      <c r="J911" s="179"/>
      <c r="K911" s="179"/>
      <c r="L911" s="179"/>
      <c r="M911" s="179"/>
      <c r="N911" s="179"/>
      <c r="O911" s="179"/>
      <c r="P911" s="179"/>
      <c r="Q911" s="179"/>
      <c r="R911" s="179"/>
      <c r="S911" s="180"/>
      <c r="T911" s="179"/>
      <c r="U911" s="166" t="s">
        <v>1512</v>
      </c>
      <c r="V911" s="165">
        <v>4854675</v>
      </c>
      <c r="W911" s="451">
        <v>0</v>
      </c>
      <c r="X911" s="163"/>
      <c r="Y911" s="163"/>
    </row>
    <row r="912" spans="1:25">
      <c r="A912" s="162"/>
      <c r="B912" s="179"/>
      <c r="C912" s="179"/>
      <c r="D912" s="179"/>
      <c r="E912" s="179"/>
      <c r="F912" s="179"/>
      <c r="G912" s="179"/>
      <c r="H912" s="179"/>
      <c r="I912" s="179"/>
      <c r="J912" s="179"/>
      <c r="K912" s="179"/>
      <c r="L912" s="179"/>
      <c r="M912" s="179"/>
      <c r="N912" s="179"/>
      <c r="O912" s="179"/>
      <c r="P912" s="179"/>
      <c r="Q912" s="179"/>
      <c r="R912" s="179"/>
      <c r="S912" s="180"/>
      <c r="T912" s="179"/>
      <c r="U912" s="166" t="s">
        <v>1513</v>
      </c>
      <c r="V912" s="165">
        <v>166021.5</v>
      </c>
      <c r="W912" s="451">
        <v>0</v>
      </c>
      <c r="X912" s="163"/>
      <c r="Y912" s="163"/>
    </row>
    <row r="913" spans="1:25" ht="38.25">
      <c r="A913" s="162"/>
      <c r="B913" s="179"/>
      <c r="C913" s="179"/>
      <c r="D913" s="179"/>
      <c r="E913" s="179"/>
      <c r="F913" s="179"/>
      <c r="G913" s="179"/>
      <c r="H913" s="179"/>
      <c r="I913" s="179"/>
      <c r="J913" s="179"/>
      <c r="K913" s="179"/>
      <c r="L913" s="179"/>
      <c r="M913" s="179"/>
      <c r="N913" s="179"/>
      <c r="O913" s="179"/>
      <c r="P913" s="179"/>
      <c r="Q913" s="179"/>
      <c r="R913" s="179"/>
      <c r="S913" s="180"/>
      <c r="T913" s="179"/>
      <c r="U913" s="166" t="s">
        <v>1514</v>
      </c>
      <c r="V913" s="165">
        <v>1994162.5</v>
      </c>
      <c r="W913" s="451">
        <v>0</v>
      </c>
      <c r="X913" s="163"/>
      <c r="Y913" s="163"/>
    </row>
    <row r="914" spans="1:25" ht="38.25">
      <c r="A914" s="162"/>
      <c r="B914" s="179"/>
      <c r="C914" s="179"/>
      <c r="D914" s="179"/>
      <c r="E914" s="179"/>
      <c r="F914" s="179"/>
      <c r="G914" s="179"/>
      <c r="H914" s="179"/>
      <c r="I914" s="179"/>
      <c r="J914" s="179"/>
      <c r="K914" s="179"/>
      <c r="L914" s="179"/>
      <c r="M914" s="179"/>
      <c r="N914" s="179"/>
      <c r="O914" s="179"/>
      <c r="P914" s="179"/>
      <c r="Q914" s="179"/>
      <c r="R914" s="179"/>
      <c r="S914" s="180"/>
      <c r="T914" s="179"/>
      <c r="U914" s="166" t="s">
        <v>1917</v>
      </c>
      <c r="V914" s="165">
        <v>1493750</v>
      </c>
      <c r="W914" s="451">
        <v>0</v>
      </c>
      <c r="X914" s="163"/>
      <c r="Y914" s="163"/>
    </row>
    <row r="915" spans="1:25" ht="39.75" customHeight="1">
      <c r="A915" s="162"/>
      <c r="B915" s="179"/>
      <c r="C915" s="179"/>
      <c r="D915" s="179"/>
      <c r="E915" s="179"/>
      <c r="F915" s="179"/>
      <c r="G915" s="179"/>
      <c r="H915" s="179"/>
      <c r="I915" s="179"/>
      <c r="J915" s="179"/>
      <c r="K915" s="179"/>
      <c r="L915" s="179"/>
      <c r="M915" s="179"/>
      <c r="N915" s="179"/>
      <c r="O915" s="179"/>
      <c r="P915" s="179"/>
      <c r="Q915" s="179"/>
      <c r="R915" s="179"/>
      <c r="S915" s="180"/>
      <c r="T915" s="179"/>
      <c r="U915" s="166" t="s">
        <v>1515</v>
      </c>
      <c r="V915" s="165">
        <v>2488716.2999999998</v>
      </c>
      <c r="W915" s="451">
        <v>0</v>
      </c>
      <c r="X915" s="163"/>
      <c r="Y915" s="163"/>
    </row>
    <row r="916" spans="1:25" ht="38.25">
      <c r="A916" s="162"/>
      <c r="B916" s="179"/>
      <c r="C916" s="179"/>
      <c r="D916" s="179"/>
      <c r="E916" s="179"/>
      <c r="F916" s="179"/>
      <c r="G916" s="179"/>
      <c r="H916" s="179"/>
      <c r="I916" s="179"/>
      <c r="J916" s="179"/>
      <c r="K916" s="179"/>
      <c r="L916" s="179"/>
      <c r="M916" s="179"/>
      <c r="N916" s="179"/>
      <c r="O916" s="179"/>
      <c r="P916" s="179"/>
      <c r="Q916" s="179"/>
      <c r="R916" s="179"/>
      <c r="S916" s="180"/>
      <c r="T916" s="179"/>
      <c r="U916" s="166" t="s">
        <v>1516</v>
      </c>
      <c r="V916" s="165">
        <v>2499813.9900000002</v>
      </c>
      <c r="W916" s="451">
        <v>0</v>
      </c>
      <c r="X916" s="163"/>
      <c r="Y916" s="163"/>
    </row>
    <row r="917" spans="1:25" ht="45" customHeight="1">
      <c r="A917" s="162"/>
      <c r="B917" s="179"/>
      <c r="C917" s="179"/>
      <c r="D917" s="179"/>
      <c r="E917" s="179"/>
      <c r="F917" s="179"/>
      <c r="G917" s="179"/>
      <c r="H917" s="179"/>
      <c r="I917" s="179"/>
      <c r="J917" s="179"/>
      <c r="K917" s="179"/>
      <c r="L917" s="179"/>
      <c r="M917" s="179"/>
      <c r="N917" s="179"/>
      <c r="O917" s="179"/>
      <c r="P917" s="179"/>
      <c r="Q917" s="179"/>
      <c r="R917" s="179"/>
      <c r="S917" s="180"/>
      <c r="T917" s="179"/>
      <c r="U917" s="166" t="s">
        <v>1515</v>
      </c>
      <c r="V917" s="165">
        <v>2488716.2999999998</v>
      </c>
      <c r="W917" s="451">
        <v>0</v>
      </c>
      <c r="X917" s="163"/>
      <c r="Y917" s="163"/>
    </row>
    <row r="918" spans="1:25" ht="25.5">
      <c r="A918" s="162"/>
      <c r="B918" s="179"/>
      <c r="C918" s="179"/>
      <c r="D918" s="179"/>
      <c r="E918" s="179"/>
      <c r="F918" s="179"/>
      <c r="G918" s="179"/>
      <c r="H918" s="179"/>
      <c r="I918" s="179"/>
      <c r="J918" s="179"/>
      <c r="K918" s="179"/>
      <c r="L918" s="179"/>
      <c r="M918" s="179"/>
      <c r="N918" s="179"/>
      <c r="O918" s="179"/>
      <c r="P918" s="179"/>
      <c r="Q918" s="179"/>
      <c r="R918" s="179"/>
      <c r="S918" s="180"/>
      <c r="T918" s="179"/>
      <c r="U918" s="166" t="s">
        <v>1517</v>
      </c>
      <c r="V918" s="165">
        <v>328267.5</v>
      </c>
      <c r="W918" s="451">
        <v>0</v>
      </c>
      <c r="X918" s="163"/>
      <c r="Y918" s="163"/>
    </row>
    <row r="919" spans="1:25" ht="25.5">
      <c r="A919" s="162"/>
      <c r="B919" s="179"/>
      <c r="C919" s="179"/>
      <c r="D919" s="179"/>
      <c r="E919" s="179"/>
      <c r="F919" s="179"/>
      <c r="G919" s="179"/>
      <c r="H919" s="179"/>
      <c r="I919" s="179"/>
      <c r="J919" s="179"/>
      <c r="K919" s="179"/>
      <c r="L919" s="179"/>
      <c r="M919" s="179"/>
      <c r="N919" s="179"/>
      <c r="O919" s="179"/>
      <c r="P919" s="179"/>
      <c r="Q919" s="179"/>
      <c r="R919" s="179"/>
      <c r="S919" s="180"/>
      <c r="T919" s="179"/>
      <c r="U919" s="166" t="s">
        <v>1918</v>
      </c>
      <c r="V919" s="165">
        <v>4489002</v>
      </c>
      <c r="W919" s="451">
        <v>0</v>
      </c>
      <c r="X919" s="163"/>
      <c r="Y919" s="163"/>
    </row>
    <row r="920" spans="1:25" ht="25.5">
      <c r="A920" s="162"/>
      <c r="B920" s="179"/>
      <c r="C920" s="179"/>
      <c r="D920" s="179"/>
      <c r="E920" s="179"/>
      <c r="F920" s="179"/>
      <c r="G920" s="179"/>
      <c r="H920" s="179"/>
      <c r="I920" s="179"/>
      <c r="J920" s="179"/>
      <c r="K920" s="179"/>
      <c r="L920" s="179"/>
      <c r="M920" s="179"/>
      <c r="N920" s="179"/>
      <c r="O920" s="179"/>
      <c r="P920" s="179"/>
      <c r="Q920" s="179"/>
      <c r="R920" s="179"/>
      <c r="S920" s="180"/>
      <c r="T920" s="179"/>
      <c r="U920" s="166" t="s">
        <v>1919</v>
      </c>
      <c r="V920" s="165">
        <v>1886000</v>
      </c>
      <c r="W920" s="451">
        <v>0</v>
      </c>
      <c r="X920" s="163"/>
      <c r="Y920" s="163"/>
    </row>
    <row r="921" spans="1:25" ht="25.5">
      <c r="A921" s="162"/>
      <c r="B921" s="179"/>
      <c r="C921" s="179"/>
      <c r="D921" s="179"/>
      <c r="E921" s="179"/>
      <c r="F921" s="179"/>
      <c r="G921" s="179"/>
      <c r="H921" s="179"/>
      <c r="I921" s="179"/>
      <c r="J921" s="179"/>
      <c r="K921" s="179"/>
      <c r="L921" s="179"/>
      <c r="M921" s="179"/>
      <c r="N921" s="179"/>
      <c r="O921" s="179"/>
      <c r="P921" s="179"/>
      <c r="Q921" s="179"/>
      <c r="R921" s="179"/>
      <c r="S921" s="180"/>
      <c r="T921" s="179"/>
      <c r="U921" s="166" t="s">
        <v>1518</v>
      </c>
      <c r="V921" s="165">
        <v>3500000</v>
      </c>
      <c r="W921" s="451">
        <v>0</v>
      </c>
      <c r="X921" s="163"/>
      <c r="Y921" s="163"/>
    </row>
    <row r="922" spans="1:25" ht="38.25">
      <c r="A922" s="162"/>
      <c r="B922" s="179"/>
      <c r="C922" s="179"/>
      <c r="D922" s="179"/>
      <c r="E922" s="179"/>
      <c r="F922" s="179"/>
      <c r="G922" s="179"/>
      <c r="H922" s="179"/>
      <c r="I922" s="179"/>
      <c r="J922" s="179"/>
      <c r="K922" s="179"/>
      <c r="L922" s="179"/>
      <c r="M922" s="179"/>
      <c r="N922" s="179"/>
      <c r="O922" s="179"/>
      <c r="P922" s="179"/>
      <c r="Q922" s="179"/>
      <c r="R922" s="179"/>
      <c r="S922" s="180"/>
      <c r="T922" s="179"/>
      <c r="U922" s="166" t="s">
        <v>1920</v>
      </c>
      <c r="V922" s="165">
        <v>3475834</v>
      </c>
      <c r="W922" s="451">
        <v>0</v>
      </c>
      <c r="X922" s="163"/>
      <c r="Y922" s="163"/>
    </row>
    <row r="923" spans="1:25" ht="38.25">
      <c r="A923" s="162"/>
      <c r="B923" s="179"/>
      <c r="C923" s="179"/>
      <c r="D923" s="179"/>
      <c r="E923" s="179"/>
      <c r="F923" s="179"/>
      <c r="G923" s="179"/>
      <c r="H923" s="179"/>
      <c r="I923" s="179"/>
      <c r="J923" s="179"/>
      <c r="K923" s="179"/>
      <c r="L923" s="179"/>
      <c r="M923" s="179"/>
      <c r="N923" s="179"/>
      <c r="O923" s="179"/>
      <c r="P923" s="179"/>
      <c r="Q923" s="179"/>
      <c r="R923" s="179"/>
      <c r="S923" s="180"/>
      <c r="T923" s="179"/>
      <c r="U923" s="166" t="s">
        <v>1921</v>
      </c>
      <c r="V923" s="165">
        <v>2818038</v>
      </c>
      <c r="W923" s="451">
        <v>0</v>
      </c>
      <c r="X923" s="163"/>
      <c r="Y923" s="163"/>
    </row>
    <row r="924" spans="1:25" ht="51">
      <c r="A924" s="162"/>
      <c r="B924" s="179"/>
      <c r="C924" s="179"/>
      <c r="D924" s="179"/>
      <c r="E924" s="179"/>
      <c r="F924" s="179"/>
      <c r="G924" s="179"/>
      <c r="H924" s="179"/>
      <c r="I924" s="179"/>
      <c r="J924" s="179"/>
      <c r="K924" s="179"/>
      <c r="L924" s="179"/>
      <c r="M924" s="179"/>
      <c r="N924" s="179"/>
      <c r="O924" s="179"/>
      <c r="P924" s="179"/>
      <c r="Q924" s="179"/>
      <c r="R924" s="179"/>
      <c r="S924" s="180"/>
      <c r="T924" s="179"/>
      <c r="U924" s="166" t="s">
        <v>1519</v>
      </c>
      <c r="V924" s="165">
        <v>1475250</v>
      </c>
      <c r="W924" s="451">
        <v>0</v>
      </c>
      <c r="X924" s="163"/>
      <c r="Y924" s="163"/>
    </row>
    <row r="925" spans="1:25" ht="38.25">
      <c r="A925" s="162"/>
      <c r="B925" s="179"/>
      <c r="C925" s="179"/>
      <c r="D925" s="179"/>
      <c r="E925" s="179"/>
      <c r="F925" s="179"/>
      <c r="G925" s="179"/>
      <c r="H925" s="179"/>
      <c r="I925" s="179"/>
      <c r="J925" s="179"/>
      <c r="K925" s="179"/>
      <c r="L925" s="179"/>
      <c r="M925" s="179"/>
      <c r="N925" s="179"/>
      <c r="O925" s="179"/>
      <c r="P925" s="179"/>
      <c r="Q925" s="179"/>
      <c r="R925" s="179"/>
      <c r="S925" s="180"/>
      <c r="T925" s="179"/>
      <c r="U925" s="166" t="s">
        <v>1520</v>
      </c>
      <c r="V925" s="165">
        <v>199888</v>
      </c>
      <c r="W925" s="451">
        <v>0</v>
      </c>
      <c r="X925" s="163"/>
      <c r="Y925" s="163"/>
    </row>
    <row r="926" spans="1:25" ht="38.25">
      <c r="A926" s="162"/>
      <c r="B926" s="179"/>
      <c r="C926" s="179"/>
      <c r="D926" s="179"/>
      <c r="E926" s="179"/>
      <c r="F926" s="179"/>
      <c r="G926" s="179"/>
      <c r="H926" s="179"/>
      <c r="I926" s="179"/>
      <c r="J926" s="179"/>
      <c r="K926" s="179"/>
      <c r="L926" s="179"/>
      <c r="M926" s="179"/>
      <c r="N926" s="179"/>
      <c r="O926" s="179"/>
      <c r="P926" s="179"/>
      <c r="Q926" s="179"/>
      <c r="R926" s="179"/>
      <c r="S926" s="180"/>
      <c r="T926" s="179"/>
      <c r="U926" s="166" t="s">
        <v>1521</v>
      </c>
      <c r="V926" s="165">
        <v>3179075</v>
      </c>
      <c r="W926" s="451">
        <v>0</v>
      </c>
      <c r="X926" s="163"/>
      <c r="Y926" s="163"/>
    </row>
    <row r="927" spans="1:25" ht="25.5">
      <c r="A927" s="162"/>
      <c r="B927" s="179"/>
      <c r="C927" s="179"/>
      <c r="D927" s="179"/>
      <c r="E927" s="179"/>
      <c r="F927" s="179"/>
      <c r="G927" s="179"/>
      <c r="H927" s="179"/>
      <c r="I927" s="179"/>
      <c r="J927" s="179"/>
      <c r="K927" s="179"/>
      <c r="L927" s="179"/>
      <c r="M927" s="179"/>
      <c r="N927" s="179"/>
      <c r="O927" s="179"/>
      <c r="P927" s="179"/>
      <c r="Q927" s="179"/>
      <c r="R927" s="179"/>
      <c r="S927" s="180"/>
      <c r="T927" s="179"/>
      <c r="U927" s="166" t="s">
        <v>1522</v>
      </c>
      <c r="V927" s="165">
        <v>3697000</v>
      </c>
      <c r="W927" s="451">
        <v>0</v>
      </c>
      <c r="X927" s="163"/>
      <c r="Y927" s="163"/>
    </row>
    <row r="928" spans="1:25" ht="38.25">
      <c r="A928" s="162"/>
      <c r="B928" s="179"/>
      <c r="C928" s="179"/>
      <c r="D928" s="179"/>
      <c r="E928" s="179"/>
      <c r="F928" s="179"/>
      <c r="G928" s="179"/>
      <c r="H928" s="179"/>
      <c r="I928" s="179"/>
      <c r="J928" s="179"/>
      <c r="K928" s="179"/>
      <c r="L928" s="179"/>
      <c r="M928" s="179"/>
      <c r="N928" s="179"/>
      <c r="O928" s="179"/>
      <c r="P928" s="179"/>
      <c r="Q928" s="179"/>
      <c r="R928" s="179"/>
      <c r="S928" s="180"/>
      <c r="T928" s="179"/>
      <c r="U928" s="166" t="s">
        <v>1523</v>
      </c>
      <c r="V928" s="165">
        <v>3499999</v>
      </c>
      <c r="W928" s="451">
        <v>0</v>
      </c>
      <c r="X928" s="163"/>
      <c r="Y928" s="163"/>
    </row>
    <row r="929" spans="1:25" ht="25.5">
      <c r="A929" s="162"/>
      <c r="B929" s="179"/>
      <c r="C929" s="179"/>
      <c r="D929" s="179"/>
      <c r="E929" s="179"/>
      <c r="F929" s="179"/>
      <c r="G929" s="179"/>
      <c r="H929" s="179"/>
      <c r="I929" s="179"/>
      <c r="J929" s="179"/>
      <c r="K929" s="179"/>
      <c r="L929" s="179"/>
      <c r="M929" s="179"/>
      <c r="N929" s="179"/>
      <c r="O929" s="179"/>
      <c r="P929" s="179"/>
      <c r="Q929" s="179"/>
      <c r="R929" s="179"/>
      <c r="S929" s="180"/>
      <c r="T929" s="179"/>
      <c r="U929" s="166" t="s">
        <v>1524</v>
      </c>
      <c r="V929" s="165">
        <v>1897750</v>
      </c>
      <c r="W929" s="451">
        <v>0</v>
      </c>
      <c r="X929" s="163"/>
      <c r="Y929" s="163"/>
    </row>
    <row r="930" spans="1:25">
      <c r="A930" s="162"/>
      <c r="B930" s="179"/>
      <c r="C930" s="179"/>
      <c r="D930" s="179"/>
      <c r="E930" s="179"/>
      <c r="F930" s="179"/>
      <c r="G930" s="179"/>
      <c r="H930" s="179"/>
      <c r="I930" s="179"/>
      <c r="J930" s="179"/>
      <c r="K930" s="179"/>
      <c r="L930" s="179"/>
      <c r="M930" s="179"/>
      <c r="N930" s="179"/>
      <c r="O930" s="179"/>
      <c r="P930" s="179"/>
      <c r="Q930" s="179"/>
      <c r="R930" s="179"/>
      <c r="S930" s="180"/>
      <c r="T930" s="179"/>
      <c r="U930" s="166" t="s">
        <v>1922</v>
      </c>
      <c r="V930" s="165">
        <v>2866500</v>
      </c>
      <c r="W930" s="451">
        <v>0</v>
      </c>
      <c r="X930" s="163"/>
      <c r="Y930" s="163"/>
    </row>
    <row r="931" spans="1:25">
      <c r="A931" s="162"/>
      <c r="B931" s="179"/>
      <c r="C931" s="179"/>
      <c r="D931" s="179"/>
      <c r="E931" s="179"/>
      <c r="F931" s="179"/>
      <c r="G931" s="179"/>
      <c r="H931" s="179"/>
      <c r="I931" s="179"/>
      <c r="J931" s="179"/>
      <c r="K931" s="179"/>
      <c r="L931" s="179"/>
      <c r="M931" s="179"/>
      <c r="N931" s="179"/>
      <c r="O931" s="179"/>
      <c r="P931" s="179"/>
      <c r="Q931" s="179"/>
      <c r="R931" s="179"/>
      <c r="S931" s="180"/>
      <c r="T931" s="179"/>
      <c r="U931" s="166" t="s">
        <v>1923</v>
      </c>
      <c r="V931" s="165">
        <v>2340000</v>
      </c>
      <c r="W931" s="451">
        <v>0</v>
      </c>
      <c r="X931" s="163"/>
      <c r="Y931" s="163"/>
    </row>
    <row r="932" spans="1:25">
      <c r="A932" s="181"/>
      <c r="B932" s="182"/>
      <c r="C932" s="182"/>
      <c r="D932" s="182"/>
      <c r="E932" s="182"/>
      <c r="F932" s="182"/>
      <c r="G932" s="182"/>
      <c r="H932" s="182"/>
      <c r="I932" s="182"/>
      <c r="J932" s="182"/>
      <c r="K932" s="182"/>
      <c r="L932" s="182"/>
      <c r="M932" s="182"/>
      <c r="N932" s="182"/>
      <c r="O932" s="182"/>
      <c r="P932" s="182"/>
      <c r="Q932" s="182"/>
      <c r="R932" s="182"/>
      <c r="S932" s="182"/>
      <c r="T932" s="182"/>
      <c r="U932" s="183"/>
      <c r="V932" s="168">
        <f t="shared" ref="V932:Y932" si="123">SUM(V861:V931)</f>
        <v>193137724.59000003</v>
      </c>
      <c r="W932" s="334">
        <f t="shared" si="123"/>
        <v>186996322.34999999</v>
      </c>
      <c r="X932" s="168">
        <f t="shared" si="123"/>
        <v>110000000</v>
      </c>
      <c r="Y932" s="168">
        <f t="shared" si="123"/>
        <v>45000000</v>
      </c>
    </row>
    <row r="933" spans="1:25">
      <c r="A933" s="188"/>
      <c r="B933" s="189"/>
      <c r="C933" s="189"/>
      <c r="D933" s="189"/>
      <c r="E933" s="189"/>
      <c r="F933" s="189"/>
      <c r="G933" s="189"/>
      <c r="H933" s="189"/>
      <c r="I933" s="189"/>
      <c r="J933" s="189"/>
      <c r="K933" s="189"/>
      <c r="L933" s="189"/>
      <c r="M933" s="189"/>
      <c r="N933" s="189"/>
      <c r="O933" s="189"/>
      <c r="P933" s="189"/>
      <c r="Q933" s="189"/>
      <c r="R933" s="189"/>
      <c r="S933" s="189"/>
      <c r="T933" s="189"/>
      <c r="U933" s="190"/>
      <c r="V933" s="191"/>
      <c r="W933" s="361"/>
      <c r="X933" s="191"/>
      <c r="Y933" s="191"/>
    </row>
    <row r="934" spans="1:25">
      <c r="A934" s="188"/>
      <c r="B934" s="189"/>
      <c r="C934" s="189"/>
      <c r="D934" s="189"/>
      <c r="E934" s="189"/>
      <c r="F934" s="189"/>
      <c r="G934" s="189"/>
      <c r="H934" s="189"/>
      <c r="I934" s="189"/>
      <c r="J934" s="189"/>
      <c r="K934" s="189"/>
      <c r="L934" s="189"/>
      <c r="M934" s="189"/>
      <c r="N934" s="189"/>
      <c r="O934" s="189"/>
      <c r="P934" s="189"/>
      <c r="Q934" s="189"/>
      <c r="R934" s="189"/>
      <c r="S934" s="189"/>
      <c r="T934" s="189"/>
      <c r="U934" s="190" t="s">
        <v>1218</v>
      </c>
      <c r="V934" s="191"/>
      <c r="W934" s="361"/>
      <c r="X934" s="191"/>
      <c r="Y934" s="191"/>
    </row>
    <row r="935" spans="1:25">
      <c r="A935" s="188"/>
      <c r="B935" s="189"/>
      <c r="C935" s="189"/>
      <c r="D935" s="189"/>
      <c r="E935" s="189"/>
      <c r="F935" s="189"/>
      <c r="G935" s="189"/>
      <c r="H935" s="189"/>
      <c r="I935" s="189"/>
      <c r="J935" s="189"/>
      <c r="K935" s="189"/>
      <c r="L935" s="189"/>
      <c r="M935" s="189"/>
      <c r="N935" s="189"/>
      <c r="O935" s="189"/>
      <c r="P935" s="189"/>
      <c r="Q935" s="189"/>
      <c r="R935" s="189"/>
      <c r="S935" s="189"/>
      <c r="T935" s="189"/>
      <c r="U935" s="144" t="s">
        <v>2181</v>
      </c>
      <c r="V935" s="191">
        <v>186996322.34999999</v>
      </c>
      <c r="W935" s="361"/>
      <c r="X935" s="191"/>
      <c r="Y935" s="191"/>
    </row>
    <row r="936" spans="1:25">
      <c r="A936" s="188"/>
      <c r="B936" s="189"/>
      <c r="C936" s="189"/>
      <c r="D936" s="189"/>
      <c r="E936" s="189"/>
      <c r="F936" s="189"/>
      <c r="G936" s="189"/>
      <c r="H936" s="189"/>
      <c r="I936" s="189"/>
      <c r="J936" s="189"/>
      <c r="K936" s="189"/>
      <c r="L936" s="189"/>
      <c r="M936" s="189"/>
      <c r="N936" s="189"/>
      <c r="O936" s="189"/>
      <c r="P936" s="189"/>
      <c r="Q936" s="189"/>
      <c r="R936" s="189"/>
      <c r="S936" s="189"/>
      <c r="T936" s="189"/>
      <c r="U936" s="190"/>
      <c r="V936" s="191"/>
      <c r="W936" s="361"/>
      <c r="X936" s="191"/>
      <c r="Y936" s="191"/>
    </row>
    <row r="937" spans="1:25" ht="26.25">
      <c r="A937" s="175" t="s">
        <v>1525</v>
      </c>
      <c r="B937" s="176"/>
      <c r="C937" s="176"/>
      <c r="D937" s="176"/>
      <c r="E937" s="176"/>
      <c r="F937" s="176"/>
      <c r="G937" s="176"/>
      <c r="H937" s="176"/>
      <c r="I937" s="176"/>
      <c r="J937" s="176"/>
      <c r="K937" s="176"/>
      <c r="L937" s="176"/>
      <c r="M937" s="176"/>
      <c r="N937" s="176"/>
      <c r="O937" s="176"/>
      <c r="P937" s="176"/>
      <c r="Q937" s="176"/>
      <c r="R937" s="176"/>
      <c r="S937" s="176"/>
      <c r="T937" s="176"/>
      <c r="U937" s="176"/>
      <c r="V937" s="176"/>
      <c r="W937" s="345"/>
      <c r="X937" s="176"/>
      <c r="Y937" s="176"/>
    </row>
    <row r="938" spans="1:25" ht="15">
      <c r="A938" s="162"/>
      <c r="B938" s="163"/>
      <c r="C938" s="163"/>
      <c r="D938" s="163"/>
      <c r="E938" s="163"/>
      <c r="F938" s="163"/>
      <c r="G938" s="163"/>
      <c r="H938" s="163"/>
      <c r="I938" s="163"/>
      <c r="J938" s="163"/>
      <c r="K938" s="163"/>
      <c r="L938" s="163"/>
      <c r="M938" s="163"/>
      <c r="N938" s="163"/>
      <c r="O938" s="163"/>
      <c r="P938" s="163"/>
      <c r="Q938" s="163"/>
      <c r="R938" s="163"/>
      <c r="S938" s="163"/>
      <c r="T938" s="163"/>
      <c r="U938" s="178" t="s">
        <v>2099</v>
      </c>
      <c r="V938" s="152">
        <v>60000000</v>
      </c>
      <c r="W938" s="451">
        <v>50018500</v>
      </c>
      <c r="X938" s="165"/>
      <c r="Y938" s="165"/>
    </row>
    <row r="939" spans="1:25" ht="26.25">
      <c r="A939" s="162"/>
      <c r="B939" s="163"/>
      <c r="C939" s="163"/>
      <c r="D939" s="163"/>
      <c r="E939" s="163"/>
      <c r="F939" s="163"/>
      <c r="G939" s="163"/>
      <c r="H939" s="163"/>
      <c r="I939" s="163"/>
      <c r="J939" s="163"/>
      <c r="K939" s="163"/>
      <c r="L939" s="163"/>
      <c r="M939" s="163"/>
      <c r="N939" s="163"/>
      <c r="O939" s="163"/>
      <c r="P939" s="163"/>
      <c r="Q939" s="163"/>
      <c r="R939" s="163"/>
      <c r="S939" s="163"/>
      <c r="T939" s="163"/>
      <c r="U939" s="178" t="s">
        <v>2100</v>
      </c>
      <c r="V939" s="152">
        <v>70000000</v>
      </c>
      <c r="W939" s="451">
        <v>60017000</v>
      </c>
      <c r="X939" s="165"/>
      <c r="Y939" s="165"/>
    </row>
    <row r="940" spans="1:25" ht="15">
      <c r="A940" s="162"/>
      <c r="B940" s="163"/>
      <c r="C940" s="163"/>
      <c r="D940" s="163"/>
      <c r="E940" s="163"/>
      <c r="F940" s="163"/>
      <c r="G940" s="163"/>
      <c r="H940" s="163"/>
      <c r="I940" s="163"/>
      <c r="J940" s="163"/>
      <c r="K940" s="163"/>
      <c r="L940" s="163"/>
      <c r="M940" s="163"/>
      <c r="N940" s="163"/>
      <c r="O940" s="163"/>
      <c r="P940" s="163"/>
      <c r="Q940" s="163"/>
      <c r="R940" s="163"/>
      <c r="S940" s="163"/>
      <c r="T940" s="163"/>
      <c r="U940" s="178" t="s">
        <v>2101</v>
      </c>
      <c r="V940" s="152">
        <v>30000000</v>
      </c>
      <c r="W940" s="451">
        <v>30017000</v>
      </c>
      <c r="X940" s="165"/>
      <c r="Y940" s="165"/>
    </row>
    <row r="941" spans="1:25" ht="15">
      <c r="A941" s="162"/>
      <c r="B941" s="163"/>
      <c r="C941" s="163"/>
      <c r="D941" s="163"/>
      <c r="E941" s="163"/>
      <c r="F941" s="163"/>
      <c r="G941" s="163"/>
      <c r="H941" s="163"/>
      <c r="I941" s="163"/>
      <c r="J941" s="163"/>
      <c r="K941" s="163"/>
      <c r="L941" s="163"/>
      <c r="M941" s="163"/>
      <c r="N941" s="163"/>
      <c r="O941" s="163"/>
      <c r="P941" s="163"/>
      <c r="Q941" s="163"/>
      <c r="R941" s="163"/>
      <c r="S941" s="163"/>
      <c r="T941" s="163"/>
      <c r="U941" s="178" t="s">
        <v>2102</v>
      </c>
      <c r="V941" s="152">
        <v>8738614.0299999993</v>
      </c>
      <c r="W941" s="451">
        <v>8755614.0299999993</v>
      </c>
      <c r="X941" s="165"/>
      <c r="Y941" s="165"/>
    </row>
    <row r="942" spans="1:25" ht="15">
      <c r="A942" s="162"/>
      <c r="B942" s="163"/>
      <c r="C942" s="163"/>
      <c r="D942" s="163"/>
      <c r="E942" s="163"/>
      <c r="F942" s="163"/>
      <c r="G942" s="163"/>
      <c r="H942" s="163"/>
      <c r="I942" s="163"/>
      <c r="J942" s="163"/>
      <c r="K942" s="163"/>
      <c r="L942" s="163"/>
      <c r="M942" s="163"/>
      <c r="N942" s="163"/>
      <c r="O942" s="163"/>
      <c r="P942" s="163"/>
      <c r="Q942" s="163"/>
      <c r="R942" s="163"/>
      <c r="S942" s="163"/>
      <c r="T942" s="163"/>
      <c r="U942" s="178" t="s">
        <v>2103</v>
      </c>
      <c r="V942" s="152">
        <v>750000</v>
      </c>
      <c r="W942" s="451">
        <v>767000</v>
      </c>
      <c r="X942" s="165"/>
      <c r="Y942" s="165"/>
    </row>
    <row r="943" spans="1:25" ht="15">
      <c r="A943" s="162"/>
      <c r="B943" s="163"/>
      <c r="C943" s="163"/>
      <c r="D943" s="163"/>
      <c r="E943" s="163"/>
      <c r="F943" s="163"/>
      <c r="G943" s="163"/>
      <c r="H943" s="163"/>
      <c r="I943" s="163"/>
      <c r="J943" s="163"/>
      <c r="K943" s="163"/>
      <c r="L943" s="163"/>
      <c r="M943" s="163"/>
      <c r="N943" s="163"/>
      <c r="O943" s="163"/>
      <c r="P943" s="163"/>
      <c r="Q943" s="163"/>
      <c r="R943" s="163"/>
      <c r="S943" s="163"/>
      <c r="T943" s="163"/>
      <c r="U943" s="178" t="s">
        <v>2104</v>
      </c>
      <c r="V943" s="152">
        <v>10000000</v>
      </c>
      <c r="W943" s="451">
        <v>10017000</v>
      </c>
      <c r="X943" s="165"/>
      <c r="Y943" s="165"/>
    </row>
    <row r="944" spans="1:25" ht="15">
      <c r="A944" s="162"/>
      <c r="B944" s="163"/>
      <c r="C944" s="163"/>
      <c r="D944" s="163"/>
      <c r="E944" s="163"/>
      <c r="F944" s="163"/>
      <c r="G944" s="163"/>
      <c r="H944" s="163"/>
      <c r="I944" s="163"/>
      <c r="J944" s="163"/>
      <c r="K944" s="163"/>
      <c r="L944" s="163"/>
      <c r="M944" s="163"/>
      <c r="N944" s="163"/>
      <c r="O944" s="163"/>
      <c r="P944" s="163"/>
      <c r="Q944" s="163"/>
      <c r="R944" s="163"/>
      <c r="S944" s="163"/>
      <c r="T944" s="163"/>
      <c r="U944" s="178" t="s">
        <v>1526</v>
      </c>
      <c r="V944" s="152">
        <v>14040000</v>
      </c>
      <c r="W944" s="451">
        <v>14057000</v>
      </c>
      <c r="X944" s="165"/>
      <c r="Y944" s="165"/>
    </row>
    <row r="945" spans="1:25" ht="15">
      <c r="A945" s="162"/>
      <c r="B945" s="163"/>
      <c r="C945" s="163"/>
      <c r="D945" s="163"/>
      <c r="E945" s="163"/>
      <c r="F945" s="163"/>
      <c r="G945" s="163"/>
      <c r="H945" s="163"/>
      <c r="I945" s="163"/>
      <c r="J945" s="163"/>
      <c r="K945" s="163"/>
      <c r="L945" s="163"/>
      <c r="M945" s="163"/>
      <c r="N945" s="163"/>
      <c r="O945" s="163"/>
      <c r="P945" s="163"/>
      <c r="Q945" s="163"/>
      <c r="R945" s="163"/>
      <c r="S945" s="163"/>
      <c r="T945" s="163"/>
      <c r="U945" s="178" t="s">
        <v>1527</v>
      </c>
      <c r="V945" s="152">
        <v>3000000</v>
      </c>
      <c r="W945" s="451">
        <v>3017000</v>
      </c>
      <c r="X945" s="165"/>
      <c r="Y945" s="165"/>
    </row>
    <row r="946" spans="1:25" ht="15">
      <c r="A946" s="162"/>
      <c r="B946" s="163"/>
      <c r="C946" s="163"/>
      <c r="D946" s="163"/>
      <c r="E946" s="163"/>
      <c r="F946" s="163"/>
      <c r="G946" s="163"/>
      <c r="H946" s="163"/>
      <c r="I946" s="163"/>
      <c r="J946" s="163"/>
      <c r="K946" s="163"/>
      <c r="L946" s="163"/>
      <c r="M946" s="163"/>
      <c r="N946" s="163"/>
      <c r="O946" s="163"/>
      <c r="P946" s="163"/>
      <c r="Q946" s="163"/>
      <c r="R946" s="163"/>
      <c r="S946" s="163"/>
      <c r="T946" s="163"/>
      <c r="U946" s="178" t="s">
        <v>1528</v>
      </c>
      <c r="V946" s="152">
        <v>1350000</v>
      </c>
      <c r="W946" s="451">
        <v>1367000</v>
      </c>
      <c r="X946" s="165"/>
      <c r="Y946" s="165"/>
    </row>
    <row r="947" spans="1:25" ht="15">
      <c r="A947" s="162"/>
      <c r="B947" s="163"/>
      <c r="C947" s="163"/>
      <c r="D947" s="163"/>
      <c r="E947" s="163"/>
      <c r="F947" s="163"/>
      <c r="G947" s="163"/>
      <c r="H947" s="163"/>
      <c r="I947" s="163"/>
      <c r="J947" s="163"/>
      <c r="K947" s="163"/>
      <c r="L947" s="163"/>
      <c r="M947" s="163"/>
      <c r="N947" s="163"/>
      <c r="O947" s="163"/>
      <c r="P947" s="163"/>
      <c r="Q947" s="163"/>
      <c r="R947" s="163"/>
      <c r="S947" s="163"/>
      <c r="T947" s="163"/>
      <c r="U947" s="178" t="s">
        <v>1529</v>
      </c>
      <c r="V947" s="152">
        <v>1000000</v>
      </c>
      <c r="W947" s="451">
        <v>1017000</v>
      </c>
      <c r="X947" s="165"/>
      <c r="Y947" s="165"/>
    </row>
    <row r="948" spans="1:25" ht="15">
      <c r="A948" s="162"/>
      <c r="B948" s="163"/>
      <c r="C948" s="163"/>
      <c r="D948" s="163"/>
      <c r="E948" s="163"/>
      <c r="F948" s="163"/>
      <c r="G948" s="163"/>
      <c r="H948" s="163"/>
      <c r="I948" s="163"/>
      <c r="J948" s="163"/>
      <c r="K948" s="163"/>
      <c r="L948" s="163"/>
      <c r="M948" s="163"/>
      <c r="N948" s="163"/>
      <c r="O948" s="163"/>
      <c r="P948" s="163"/>
      <c r="Q948" s="163"/>
      <c r="R948" s="163"/>
      <c r="S948" s="163"/>
      <c r="T948" s="163"/>
      <c r="U948" s="178" t="s">
        <v>1530</v>
      </c>
      <c r="V948" s="152">
        <v>550000</v>
      </c>
      <c r="W948" s="451">
        <v>567000</v>
      </c>
      <c r="X948" s="165"/>
      <c r="Y948" s="165"/>
    </row>
    <row r="949" spans="1:25" ht="25.5">
      <c r="A949" s="162"/>
      <c r="B949" s="163"/>
      <c r="C949" s="163"/>
      <c r="D949" s="163"/>
      <c r="E949" s="163"/>
      <c r="F949" s="163"/>
      <c r="G949" s="163"/>
      <c r="H949" s="163"/>
      <c r="I949" s="163"/>
      <c r="J949" s="163"/>
      <c r="K949" s="163"/>
      <c r="L949" s="163"/>
      <c r="M949" s="163"/>
      <c r="N949" s="163"/>
      <c r="O949" s="163"/>
      <c r="P949" s="163"/>
      <c r="Q949" s="163"/>
      <c r="R949" s="163"/>
      <c r="S949" s="163"/>
      <c r="T949" s="163"/>
      <c r="U949" s="374" t="s">
        <v>2105</v>
      </c>
      <c r="V949" s="152"/>
      <c r="W949" s="451">
        <v>0</v>
      </c>
      <c r="X949" s="284">
        <v>100000000</v>
      </c>
      <c r="Y949" s="284">
        <v>105000000</v>
      </c>
    </row>
    <row r="950" spans="1:25" ht="25.5">
      <c r="A950" s="162"/>
      <c r="B950" s="163"/>
      <c r="C950" s="163"/>
      <c r="D950" s="163"/>
      <c r="E950" s="163"/>
      <c r="F950" s="163"/>
      <c r="G950" s="163"/>
      <c r="H950" s="163"/>
      <c r="I950" s="163"/>
      <c r="J950" s="163"/>
      <c r="K950" s="163"/>
      <c r="L950" s="163"/>
      <c r="M950" s="163"/>
      <c r="N950" s="163"/>
      <c r="O950" s="163"/>
      <c r="P950" s="163"/>
      <c r="Q950" s="163"/>
      <c r="R950" s="163"/>
      <c r="S950" s="163"/>
      <c r="T950" s="163"/>
      <c r="U950" s="376" t="s">
        <v>2106</v>
      </c>
      <c r="V950" s="152"/>
      <c r="W950" s="451">
        <v>0</v>
      </c>
      <c r="X950" s="284">
        <v>7000000</v>
      </c>
      <c r="Y950" s="369"/>
    </row>
    <row r="951" spans="1:25" ht="15">
      <c r="A951" s="162"/>
      <c r="B951" s="163"/>
      <c r="C951" s="163"/>
      <c r="D951" s="163"/>
      <c r="E951" s="163"/>
      <c r="F951" s="163"/>
      <c r="G951" s="163"/>
      <c r="H951" s="163"/>
      <c r="I951" s="163"/>
      <c r="J951" s="163"/>
      <c r="K951" s="163"/>
      <c r="L951" s="163"/>
      <c r="M951" s="163"/>
      <c r="N951" s="163"/>
      <c r="O951" s="163"/>
      <c r="P951" s="163"/>
      <c r="Q951" s="163"/>
      <c r="R951" s="163"/>
      <c r="S951" s="163"/>
      <c r="T951" s="163"/>
      <c r="U951" s="378" t="s">
        <v>2107</v>
      </c>
      <c r="V951" s="152"/>
      <c r="W951" s="451">
        <v>0</v>
      </c>
      <c r="X951" s="284">
        <v>100000000</v>
      </c>
      <c r="Y951" s="369"/>
    </row>
    <row r="952" spans="1:25" ht="25.5">
      <c r="A952" s="162"/>
      <c r="B952" s="163"/>
      <c r="C952" s="163"/>
      <c r="D952" s="163"/>
      <c r="E952" s="163"/>
      <c r="F952" s="163"/>
      <c r="G952" s="163"/>
      <c r="H952" s="163"/>
      <c r="I952" s="163"/>
      <c r="J952" s="163"/>
      <c r="K952" s="163"/>
      <c r="L952" s="163"/>
      <c r="M952" s="163"/>
      <c r="N952" s="163"/>
      <c r="O952" s="163"/>
      <c r="P952" s="163"/>
      <c r="Q952" s="163"/>
      <c r="R952" s="163"/>
      <c r="S952" s="163"/>
      <c r="T952" s="163"/>
      <c r="U952" s="378" t="s">
        <v>2256</v>
      </c>
      <c r="V952" s="152"/>
      <c r="W952" s="451">
        <v>0</v>
      </c>
      <c r="X952" s="284">
        <v>5000000</v>
      </c>
      <c r="Y952" s="369"/>
    </row>
    <row r="953" spans="1:25" ht="27.75">
      <c r="A953" s="162"/>
      <c r="B953" s="163"/>
      <c r="C953" s="163"/>
      <c r="D953" s="163"/>
      <c r="E953" s="163"/>
      <c r="F953" s="163"/>
      <c r="G953" s="163"/>
      <c r="H953" s="163"/>
      <c r="I953" s="163"/>
      <c r="J953" s="163"/>
      <c r="K953" s="163"/>
      <c r="L953" s="163"/>
      <c r="M953" s="163"/>
      <c r="N953" s="163"/>
      <c r="O953" s="163"/>
      <c r="P953" s="163"/>
      <c r="Q953" s="163"/>
      <c r="R953" s="163"/>
      <c r="S953" s="163"/>
      <c r="T953" s="163"/>
      <c r="U953" s="378" t="s">
        <v>2257</v>
      </c>
      <c r="V953" s="152"/>
      <c r="W953" s="451">
        <v>0</v>
      </c>
      <c r="X953" s="284">
        <v>60000000</v>
      </c>
      <c r="Y953" s="284">
        <v>70000000</v>
      </c>
    </row>
    <row r="954" spans="1:25" ht="15">
      <c r="A954" s="162"/>
      <c r="B954" s="163"/>
      <c r="C954" s="163"/>
      <c r="D954" s="163"/>
      <c r="E954" s="163"/>
      <c r="F954" s="163"/>
      <c r="G954" s="163"/>
      <c r="H954" s="163"/>
      <c r="I954" s="163"/>
      <c r="J954" s="163"/>
      <c r="K954" s="163"/>
      <c r="L954" s="163"/>
      <c r="M954" s="163"/>
      <c r="N954" s="163"/>
      <c r="O954" s="163"/>
      <c r="P954" s="163"/>
      <c r="Q954" s="163"/>
      <c r="R954" s="163"/>
      <c r="S954" s="163"/>
      <c r="T954" s="163"/>
      <c r="U954" s="378" t="s">
        <v>2259</v>
      </c>
      <c r="V954" s="152"/>
      <c r="W954" s="451">
        <v>0</v>
      </c>
      <c r="X954" s="284">
        <v>3000000</v>
      </c>
      <c r="Y954" s="284">
        <v>4000000</v>
      </c>
    </row>
    <row r="955" spans="1:25" ht="15">
      <c r="A955" s="162"/>
      <c r="B955" s="163"/>
      <c r="C955" s="163"/>
      <c r="D955" s="163"/>
      <c r="E955" s="163"/>
      <c r="F955" s="163"/>
      <c r="G955" s="163"/>
      <c r="H955" s="163"/>
      <c r="I955" s="163"/>
      <c r="J955" s="163"/>
      <c r="K955" s="163"/>
      <c r="L955" s="163"/>
      <c r="M955" s="163"/>
      <c r="N955" s="163"/>
      <c r="O955" s="163"/>
      <c r="P955" s="163"/>
      <c r="Q955" s="163"/>
      <c r="R955" s="163"/>
      <c r="S955" s="163"/>
      <c r="T955" s="163"/>
      <c r="U955" s="378" t="s">
        <v>2258</v>
      </c>
      <c r="V955" s="152"/>
      <c r="W955" s="451">
        <v>0</v>
      </c>
      <c r="X955" s="284">
        <v>100000000</v>
      </c>
      <c r="Y955" s="284">
        <v>150000000</v>
      </c>
    </row>
    <row r="956" spans="1:25" ht="15">
      <c r="A956" s="162"/>
      <c r="B956" s="163"/>
      <c r="C956" s="163"/>
      <c r="D956" s="163"/>
      <c r="E956" s="163"/>
      <c r="F956" s="163"/>
      <c r="G956" s="163"/>
      <c r="H956" s="163"/>
      <c r="I956" s="163"/>
      <c r="J956" s="163"/>
      <c r="K956" s="163"/>
      <c r="L956" s="163"/>
      <c r="M956" s="163"/>
      <c r="N956" s="163"/>
      <c r="O956" s="163"/>
      <c r="P956" s="163"/>
      <c r="Q956" s="163"/>
      <c r="R956" s="163"/>
      <c r="S956" s="163"/>
      <c r="T956" s="163"/>
      <c r="U956" s="378" t="s">
        <v>2260</v>
      </c>
      <c r="V956" s="152"/>
      <c r="W956" s="451">
        <v>0</v>
      </c>
      <c r="X956" s="284">
        <v>50000000</v>
      </c>
      <c r="Y956" s="284">
        <v>70000000</v>
      </c>
    </row>
    <row r="957" spans="1:25" ht="15">
      <c r="A957" s="162"/>
      <c r="B957" s="163"/>
      <c r="C957" s="163"/>
      <c r="D957" s="163"/>
      <c r="E957" s="163"/>
      <c r="F957" s="163"/>
      <c r="G957" s="163"/>
      <c r="H957" s="163"/>
      <c r="I957" s="163"/>
      <c r="J957" s="163"/>
      <c r="K957" s="163"/>
      <c r="L957" s="163"/>
      <c r="M957" s="163"/>
      <c r="N957" s="163"/>
      <c r="O957" s="163"/>
      <c r="P957" s="163"/>
      <c r="Q957" s="163"/>
      <c r="R957" s="163"/>
      <c r="S957" s="163"/>
      <c r="T957" s="163"/>
      <c r="U957" s="378" t="s">
        <v>2261</v>
      </c>
      <c r="V957" s="152"/>
      <c r="W957" s="451">
        <v>0</v>
      </c>
      <c r="X957" s="284">
        <v>10000000</v>
      </c>
      <c r="Y957" s="284">
        <v>5000000</v>
      </c>
    </row>
    <row r="958" spans="1:25">
      <c r="A958" s="181"/>
      <c r="B958" s="182"/>
      <c r="C958" s="182"/>
      <c r="D958" s="182"/>
      <c r="E958" s="182"/>
      <c r="F958" s="182"/>
      <c r="G958" s="182"/>
      <c r="H958" s="182"/>
      <c r="I958" s="182"/>
      <c r="J958" s="182"/>
      <c r="K958" s="182"/>
      <c r="L958" s="182"/>
      <c r="M958" s="182"/>
      <c r="N958" s="182"/>
      <c r="O958" s="182"/>
      <c r="P958" s="182"/>
      <c r="Q958" s="182"/>
      <c r="R958" s="182"/>
      <c r="S958" s="182"/>
      <c r="T958" s="182"/>
      <c r="U958" s="183"/>
      <c r="V958" s="168">
        <f>SUM(V938:V957)</f>
        <v>199428614.03</v>
      </c>
      <c r="W958" s="334">
        <f t="shared" ref="W958:Y958" si="124">SUM(W938:W957)</f>
        <v>179617114.03</v>
      </c>
      <c r="X958" s="168">
        <f t="shared" si="124"/>
        <v>435000000</v>
      </c>
      <c r="Y958" s="168">
        <f t="shared" si="124"/>
        <v>404000000</v>
      </c>
    </row>
    <row r="960" spans="1:25">
      <c r="U960" s="190" t="s">
        <v>1218</v>
      </c>
      <c r="V960" s="191"/>
    </row>
    <row r="961" spans="1:25">
      <c r="U961" s="144" t="s">
        <v>2181</v>
      </c>
      <c r="V961" s="191">
        <v>179617114.03</v>
      </c>
    </row>
    <row r="963" spans="1:25" ht="26.25">
      <c r="A963" s="175" t="s">
        <v>1531</v>
      </c>
      <c r="B963" s="176"/>
      <c r="C963" s="176"/>
      <c r="D963" s="176"/>
      <c r="E963" s="176"/>
      <c r="F963" s="176"/>
      <c r="G963" s="176"/>
      <c r="H963" s="176"/>
      <c r="I963" s="176"/>
      <c r="J963" s="176"/>
      <c r="K963" s="176"/>
      <c r="L963" s="176"/>
      <c r="M963" s="176"/>
      <c r="N963" s="176"/>
      <c r="O963" s="176"/>
      <c r="P963" s="176"/>
      <c r="Q963" s="176"/>
      <c r="R963" s="176"/>
      <c r="S963" s="176"/>
      <c r="T963" s="176"/>
      <c r="U963" s="176"/>
      <c r="V963" s="176"/>
      <c r="W963" s="345"/>
      <c r="X963" s="176"/>
      <c r="Y963" s="176"/>
    </row>
    <row r="964" spans="1:25" ht="25.5">
      <c r="A964" s="162"/>
      <c r="B964" s="163"/>
      <c r="C964" s="163"/>
      <c r="D964" s="163"/>
      <c r="E964" s="163"/>
      <c r="F964" s="163"/>
      <c r="G964" s="163"/>
      <c r="H964" s="163"/>
      <c r="I964" s="163"/>
      <c r="J964" s="163"/>
      <c r="K964" s="163"/>
      <c r="L964" s="163"/>
      <c r="M964" s="163"/>
      <c r="N964" s="163"/>
      <c r="O964" s="163"/>
      <c r="P964" s="163"/>
      <c r="Q964" s="163"/>
      <c r="R964" s="163"/>
      <c r="S964" s="163"/>
      <c r="T964" s="163"/>
      <c r="U964" s="178" t="s">
        <v>1532</v>
      </c>
      <c r="V964" s="165">
        <v>10000000</v>
      </c>
      <c r="W964" s="451">
        <v>11040000</v>
      </c>
      <c r="X964" s="165"/>
      <c r="Y964" s="165"/>
    </row>
    <row r="965" spans="1:25" ht="25.5">
      <c r="A965" s="162"/>
      <c r="B965" s="163"/>
      <c r="C965" s="163"/>
      <c r="D965" s="163"/>
      <c r="E965" s="163"/>
      <c r="F965" s="163"/>
      <c r="G965" s="163"/>
      <c r="H965" s="163"/>
      <c r="I965" s="163"/>
      <c r="J965" s="163"/>
      <c r="K965" s="163"/>
      <c r="L965" s="163"/>
      <c r="M965" s="163"/>
      <c r="N965" s="163"/>
      <c r="O965" s="163"/>
      <c r="P965" s="163"/>
      <c r="Q965" s="163"/>
      <c r="R965" s="163"/>
      <c r="S965" s="163"/>
      <c r="T965" s="163"/>
      <c r="U965" s="178" t="s">
        <v>1533</v>
      </c>
      <c r="V965" s="165">
        <v>10000000</v>
      </c>
      <c r="W965" s="451">
        <v>11040000</v>
      </c>
      <c r="X965" s="165"/>
      <c r="Y965" s="165"/>
    </row>
    <row r="966" spans="1:25">
      <c r="A966" s="162"/>
      <c r="B966" s="163"/>
      <c r="C966" s="163"/>
      <c r="D966" s="163"/>
      <c r="E966" s="163"/>
      <c r="F966" s="163"/>
      <c r="G966" s="163"/>
      <c r="H966" s="163"/>
      <c r="I966" s="163"/>
      <c r="J966" s="163"/>
      <c r="K966" s="163"/>
      <c r="L966" s="163"/>
      <c r="M966" s="163"/>
      <c r="N966" s="163"/>
      <c r="O966" s="163"/>
      <c r="P966" s="163"/>
      <c r="Q966" s="163"/>
      <c r="R966" s="163"/>
      <c r="S966" s="163"/>
      <c r="T966" s="163"/>
      <c r="U966" s="178" t="s">
        <v>2244</v>
      </c>
      <c r="V966" s="165">
        <v>2276000</v>
      </c>
      <c r="W966" s="451">
        <v>2008000</v>
      </c>
      <c r="X966" s="165"/>
      <c r="Y966" s="165"/>
    </row>
    <row r="967" spans="1:25" ht="51">
      <c r="A967" s="162"/>
      <c r="B967" s="163"/>
      <c r="C967" s="163"/>
      <c r="D967" s="163"/>
      <c r="E967" s="163"/>
      <c r="F967" s="163"/>
      <c r="G967" s="163"/>
      <c r="H967" s="163"/>
      <c r="I967" s="163"/>
      <c r="J967" s="163"/>
      <c r="K967" s="163"/>
      <c r="L967" s="163"/>
      <c r="M967" s="163"/>
      <c r="N967" s="163"/>
      <c r="O967" s="163"/>
      <c r="P967" s="163"/>
      <c r="Q967" s="163"/>
      <c r="R967" s="163"/>
      <c r="S967" s="163"/>
      <c r="T967" s="163"/>
      <c r="U967" s="178" t="s">
        <v>2245</v>
      </c>
      <c r="V967" s="165">
        <v>2000000</v>
      </c>
      <c r="W967" s="451">
        <v>3010000</v>
      </c>
      <c r="X967" s="165"/>
      <c r="Y967" s="165"/>
    </row>
    <row r="968" spans="1:25" ht="25.5">
      <c r="A968" s="162"/>
      <c r="B968" s="163"/>
      <c r="C968" s="163"/>
      <c r="D968" s="163"/>
      <c r="E968" s="163"/>
      <c r="F968" s="163"/>
      <c r="G968" s="163"/>
      <c r="H968" s="163"/>
      <c r="I968" s="163"/>
      <c r="J968" s="163"/>
      <c r="K968" s="163"/>
      <c r="L968" s="163"/>
      <c r="M968" s="163"/>
      <c r="N968" s="163"/>
      <c r="O968" s="163"/>
      <c r="P968" s="163"/>
      <c r="Q968" s="163"/>
      <c r="R968" s="163"/>
      <c r="S968" s="163"/>
      <c r="T968" s="163"/>
      <c r="U968" s="178" t="s">
        <v>2246</v>
      </c>
      <c r="V968" s="165">
        <v>10000000</v>
      </c>
      <c r="W968" s="451">
        <v>10030000</v>
      </c>
      <c r="X968" s="165"/>
      <c r="Y968" s="165"/>
    </row>
    <row r="969" spans="1:25" ht="25.5">
      <c r="A969" s="162"/>
      <c r="B969" s="163"/>
      <c r="C969" s="163"/>
      <c r="D969" s="163"/>
      <c r="E969" s="163"/>
      <c r="F969" s="163"/>
      <c r="G969" s="163"/>
      <c r="H969" s="163"/>
      <c r="I969" s="163"/>
      <c r="J969" s="163"/>
      <c r="K969" s="163"/>
      <c r="L969" s="163"/>
      <c r="M969" s="163"/>
      <c r="N969" s="163"/>
      <c r="O969" s="163"/>
      <c r="P969" s="163"/>
      <c r="Q969" s="163"/>
      <c r="R969" s="163"/>
      <c r="S969" s="163"/>
      <c r="T969" s="163"/>
      <c r="U969" s="178" t="s">
        <v>1924</v>
      </c>
      <c r="V969" s="165">
        <v>3000000</v>
      </c>
      <c r="W969" s="451">
        <v>3024000</v>
      </c>
      <c r="X969" s="165"/>
      <c r="Y969" s="165"/>
    </row>
    <row r="970" spans="1:25" ht="25.5">
      <c r="A970" s="162"/>
      <c r="B970" s="163"/>
      <c r="C970" s="163"/>
      <c r="D970" s="163"/>
      <c r="E970" s="163"/>
      <c r="F970" s="163"/>
      <c r="G970" s="163"/>
      <c r="H970" s="163"/>
      <c r="I970" s="163"/>
      <c r="J970" s="163"/>
      <c r="K970" s="163"/>
      <c r="L970" s="163"/>
      <c r="M970" s="163"/>
      <c r="N970" s="163"/>
      <c r="O970" s="163"/>
      <c r="P970" s="163"/>
      <c r="Q970" s="163"/>
      <c r="R970" s="163"/>
      <c r="S970" s="163"/>
      <c r="T970" s="163"/>
      <c r="U970" s="178" t="s">
        <v>1925</v>
      </c>
      <c r="V970" s="165">
        <v>2000000</v>
      </c>
      <c r="W970" s="451">
        <v>2000000</v>
      </c>
      <c r="X970" s="165"/>
      <c r="Y970" s="165"/>
    </row>
    <row r="971" spans="1:25" ht="25.5">
      <c r="A971" s="162"/>
      <c r="B971" s="163"/>
      <c r="C971" s="163"/>
      <c r="D971" s="163"/>
      <c r="E971" s="163"/>
      <c r="F971" s="163"/>
      <c r="G971" s="163"/>
      <c r="H971" s="163"/>
      <c r="I971" s="163"/>
      <c r="J971" s="163"/>
      <c r="K971" s="163"/>
      <c r="L971" s="163"/>
      <c r="M971" s="163"/>
      <c r="N971" s="163"/>
      <c r="O971" s="163"/>
      <c r="P971" s="163"/>
      <c r="Q971" s="163"/>
      <c r="R971" s="163"/>
      <c r="S971" s="163"/>
      <c r="T971" s="163"/>
      <c r="U971" s="178" t="s">
        <v>1534</v>
      </c>
      <c r="V971" s="165">
        <v>1000000</v>
      </c>
      <c r="W971" s="451">
        <v>1010000</v>
      </c>
      <c r="X971" s="165"/>
      <c r="Y971" s="165"/>
    </row>
    <row r="972" spans="1:25" ht="25.5">
      <c r="A972" s="162"/>
      <c r="B972" s="163"/>
      <c r="C972" s="163"/>
      <c r="D972" s="163"/>
      <c r="E972" s="163"/>
      <c r="F972" s="163"/>
      <c r="G972" s="163"/>
      <c r="H972" s="163"/>
      <c r="I972" s="163"/>
      <c r="J972" s="163"/>
      <c r="K972" s="163"/>
      <c r="L972" s="163"/>
      <c r="M972" s="163"/>
      <c r="N972" s="163"/>
      <c r="O972" s="163"/>
      <c r="P972" s="163"/>
      <c r="Q972" s="163"/>
      <c r="R972" s="163"/>
      <c r="S972" s="163"/>
      <c r="T972" s="163"/>
      <c r="U972" s="178" t="s">
        <v>1926</v>
      </c>
      <c r="V972" s="165">
        <v>3000000</v>
      </c>
      <c r="W972" s="451">
        <v>3010000</v>
      </c>
      <c r="X972" s="165"/>
      <c r="Y972" s="165"/>
    </row>
    <row r="973" spans="1:25" ht="25.5">
      <c r="A973" s="162"/>
      <c r="B973" s="163"/>
      <c r="C973" s="163"/>
      <c r="D973" s="163"/>
      <c r="E973" s="163"/>
      <c r="F973" s="163"/>
      <c r="G973" s="163"/>
      <c r="H973" s="163"/>
      <c r="I973" s="163"/>
      <c r="J973" s="163"/>
      <c r="K973" s="163"/>
      <c r="L973" s="163"/>
      <c r="M973" s="163"/>
      <c r="N973" s="163"/>
      <c r="O973" s="163"/>
      <c r="P973" s="163"/>
      <c r="Q973" s="163"/>
      <c r="R973" s="163"/>
      <c r="S973" s="163"/>
      <c r="T973" s="163"/>
      <c r="U973" s="178" t="s">
        <v>2247</v>
      </c>
      <c r="V973" s="165">
        <v>1559300</v>
      </c>
      <c r="W973" s="451">
        <v>1569300</v>
      </c>
      <c r="X973" s="165"/>
      <c r="Y973" s="165"/>
    </row>
    <row r="974" spans="1:25" ht="38.25">
      <c r="A974" s="162"/>
      <c r="B974" s="163"/>
      <c r="C974" s="163"/>
      <c r="D974" s="163"/>
      <c r="E974" s="163"/>
      <c r="F974" s="163"/>
      <c r="G974" s="163"/>
      <c r="H974" s="163"/>
      <c r="I974" s="163"/>
      <c r="J974" s="163"/>
      <c r="K974" s="163"/>
      <c r="L974" s="163"/>
      <c r="M974" s="163"/>
      <c r="N974" s="163"/>
      <c r="O974" s="163"/>
      <c r="P974" s="163"/>
      <c r="Q974" s="163"/>
      <c r="R974" s="163"/>
      <c r="S974" s="163"/>
      <c r="T974" s="163"/>
      <c r="U974" s="178" t="s">
        <v>2248</v>
      </c>
      <c r="V974" s="165"/>
      <c r="W974" s="451">
        <v>17124000</v>
      </c>
      <c r="X974" s="165"/>
      <c r="Y974" s="165"/>
    </row>
    <row r="975" spans="1:25" ht="25.5">
      <c r="A975" s="162"/>
      <c r="B975" s="163"/>
      <c r="C975" s="163"/>
      <c r="D975" s="163"/>
      <c r="E975" s="163"/>
      <c r="F975" s="163"/>
      <c r="G975" s="163"/>
      <c r="H975" s="163"/>
      <c r="I975" s="163"/>
      <c r="J975" s="163"/>
      <c r="K975" s="163"/>
      <c r="L975" s="163"/>
      <c r="M975" s="163"/>
      <c r="N975" s="163"/>
      <c r="O975" s="163"/>
      <c r="P975" s="163"/>
      <c r="Q975" s="163"/>
      <c r="R975" s="163"/>
      <c r="S975" s="163"/>
      <c r="T975" s="163"/>
      <c r="U975" s="178" t="s">
        <v>1927</v>
      </c>
      <c r="V975" s="165"/>
      <c r="W975" s="451">
        <v>25000000</v>
      </c>
      <c r="X975" s="165"/>
      <c r="Y975" s="165"/>
    </row>
    <row r="976" spans="1:25" ht="38.25">
      <c r="A976" s="162"/>
      <c r="B976" s="163"/>
      <c r="C976" s="163"/>
      <c r="D976" s="163"/>
      <c r="E976" s="163"/>
      <c r="F976" s="163"/>
      <c r="G976" s="163"/>
      <c r="H976" s="163"/>
      <c r="I976" s="163"/>
      <c r="J976" s="163"/>
      <c r="K976" s="163"/>
      <c r="L976" s="163"/>
      <c r="M976" s="163"/>
      <c r="N976" s="163"/>
      <c r="O976" s="163"/>
      <c r="P976" s="163"/>
      <c r="Q976" s="163"/>
      <c r="R976" s="163"/>
      <c r="S976" s="163"/>
      <c r="T976" s="163"/>
      <c r="U976" s="178" t="s">
        <v>2249</v>
      </c>
      <c r="V976" s="165"/>
      <c r="W976" s="451">
        <v>2574000</v>
      </c>
      <c r="X976" s="284">
        <v>8000000</v>
      </c>
      <c r="Y976" s="369"/>
    </row>
    <row r="977" spans="1:25" ht="25.5">
      <c r="A977" s="162"/>
      <c r="B977" s="163"/>
      <c r="C977" s="163"/>
      <c r="D977" s="163"/>
      <c r="E977" s="163"/>
      <c r="F977" s="163"/>
      <c r="G977" s="163"/>
      <c r="H977" s="163"/>
      <c r="I977" s="163"/>
      <c r="J977" s="163"/>
      <c r="K977" s="163"/>
      <c r="L977" s="163"/>
      <c r="M977" s="163"/>
      <c r="N977" s="163"/>
      <c r="O977" s="163"/>
      <c r="P977" s="163"/>
      <c r="Q977" s="163"/>
      <c r="R977" s="163"/>
      <c r="S977" s="163"/>
      <c r="T977" s="163"/>
      <c r="U977" s="178" t="s">
        <v>2250</v>
      </c>
      <c r="V977" s="165"/>
      <c r="W977" s="451">
        <v>3300000</v>
      </c>
      <c r="X977" s="284">
        <v>15000000</v>
      </c>
      <c r="Y977" s="369"/>
    </row>
    <row r="978" spans="1:25" ht="25.5">
      <c r="A978" s="162"/>
      <c r="B978" s="163"/>
      <c r="C978" s="163"/>
      <c r="D978" s="163"/>
      <c r="E978" s="163"/>
      <c r="F978" s="163"/>
      <c r="G978" s="163"/>
      <c r="H978" s="163"/>
      <c r="I978" s="163"/>
      <c r="J978" s="163"/>
      <c r="K978" s="163"/>
      <c r="L978" s="163"/>
      <c r="M978" s="163"/>
      <c r="N978" s="163"/>
      <c r="O978" s="163"/>
      <c r="P978" s="163"/>
      <c r="Q978" s="163"/>
      <c r="R978" s="163"/>
      <c r="S978" s="163"/>
      <c r="T978" s="163"/>
      <c r="U978" s="178" t="s">
        <v>2251</v>
      </c>
      <c r="V978" s="165"/>
      <c r="W978" s="451">
        <v>6650000</v>
      </c>
      <c r="X978" s="165"/>
      <c r="Y978" s="165"/>
    </row>
    <row r="979" spans="1:25">
      <c r="A979" s="162"/>
      <c r="B979" s="163"/>
      <c r="C979" s="163"/>
      <c r="D979" s="163"/>
      <c r="E979" s="163"/>
      <c r="F979" s="163"/>
      <c r="G979" s="163"/>
      <c r="H979" s="163"/>
      <c r="I979" s="163"/>
      <c r="J979" s="163"/>
      <c r="K979" s="163"/>
      <c r="L979" s="163"/>
      <c r="M979" s="163"/>
      <c r="N979" s="163"/>
      <c r="O979" s="163"/>
      <c r="P979" s="163"/>
      <c r="Q979" s="163"/>
      <c r="R979" s="163"/>
      <c r="S979" s="163"/>
      <c r="T979" s="163"/>
      <c r="U979" s="178" t="s">
        <v>1535</v>
      </c>
      <c r="V979" s="165"/>
      <c r="W979" s="451">
        <v>1574000</v>
      </c>
      <c r="X979" s="284">
        <v>10000000</v>
      </c>
      <c r="Y979" s="165"/>
    </row>
    <row r="980" spans="1:25" ht="25.5">
      <c r="A980" s="162"/>
      <c r="B980" s="163"/>
      <c r="C980" s="163"/>
      <c r="D980" s="163"/>
      <c r="E980" s="163"/>
      <c r="F980" s="163"/>
      <c r="G980" s="163"/>
      <c r="H980" s="163"/>
      <c r="I980" s="163"/>
      <c r="J980" s="163"/>
      <c r="K980" s="163"/>
      <c r="L980" s="163"/>
      <c r="M980" s="163"/>
      <c r="N980" s="163"/>
      <c r="O980" s="163"/>
      <c r="P980" s="163"/>
      <c r="Q980" s="163"/>
      <c r="R980" s="163"/>
      <c r="S980" s="163"/>
      <c r="T980" s="163"/>
      <c r="U980" s="178" t="s">
        <v>2252</v>
      </c>
      <c r="V980" s="165"/>
      <c r="W980" s="451">
        <v>824000</v>
      </c>
      <c r="X980" s="165"/>
      <c r="Y980" s="165"/>
    </row>
    <row r="981" spans="1:25" ht="25.5">
      <c r="A981" s="162"/>
      <c r="B981" s="163"/>
      <c r="C981" s="163"/>
      <c r="D981" s="163"/>
      <c r="E981" s="163"/>
      <c r="F981" s="163"/>
      <c r="G981" s="163"/>
      <c r="H981" s="163"/>
      <c r="I981" s="163"/>
      <c r="J981" s="163"/>
      <c r="K981" s="163"/>
      <c r="L981" s="163"/>
      <c r="M981" s="163"/>
      <c r="N981" s="163"/>
      <c r="O981" s="163"/>
      <c r="P981" s="163"/>
      <c r="Q981" s="163"/>
      <c r="R981" s="163"/>
      <c r="S981" s="163"/>
      <c r="T981" s="163"/>
      <c r="U981" s="178" t="s">
        <v>2253</v>
      </c>
      <c r="V981" s="165"/>
      <c r="W981" s="451">
        <v>2224000</v>
      </c>
      <c r="X981" s="165"/>
      <c r="Y981" s="165"/>
    </row>
    <row r="982" spans="1:25" ht="25.5">
      <c r="A982" s="162"/>
      <c r="B982" s="163"/>
      <c r="C982" s="163"/>
      <c r="D982" s="163"/>
      <c r="E982" s="163"/>
      <c r="F982" s="163"/>
      <c r="G982" s="163"/>
      <c r="H982" s="163"/>
      <c r="I982" s="163"/>
      <c r="J982" s="163"/>
      <c r="K982" s="163"/>
      <c r="L982" s="163"/>
      <c r="M982" s="163"/>
      <c r="N982" s="163"/>
      <c r="O982" s="163"/>
      <c r="P982" s="163"/>
      <c r="Q982" s="163"/>
      <c r="R982" s="163"/>
      <c r="S982" s="163"/>
      <c r="T982" s="163"/>
      <c r="U982" s="178" t="s">
        <v>2254</v>
      </c>
      <c r="V982" s="165"/>
      <c r="W982" s="451">
        <v>5074000</v>
      </c>
      <c r="X982" s="165"/>
      <c r="Y982" s="165"/>
    </row>
    <row r="983" spans="1:25" ht="25.5">
      <c r="A983" s="162"/>
      <c r="B983" s="163"/>
      <c r="C983" s="163"/>
      <c r="D983" s="163"/>
      <c r="E983" s="163"/>
      <c r="F983" s="163"/>
      <c r="G983" s="163"/>
      <c r="H983" s="163"/>
      <c r="I983" s="163"/>
      <c r="J983" s="163"/>
      <c r="K983" s="163"/>
      <c r="L983" s="163"/>
      <c r="M983" s="163"/>
      <c r="N983" s="163"/>
      <c r="O983" s="163"/>
      <c r="P983" s="163"/>
      <c r="Q983" s="163"/>
      <c r="R983" s="163"/>
      <c r="S983" s="163"/>
      <c r="T983" s="163"/>
      <c r="U983" s="178" t="s">
        <v>2255</v>
      </c>
      <c r="V983" s="165"/>
      <c r="W983" s="451">
        <v>6074000</v>
      </c>
      <c r="X983" s="165"/>
      <c r="Y983" s="165"/>
    </row>
    <row r="984" spans="1:25" s="148" customFormat="1" ht="30">
      <c r="A984" s="196"/>
      <c r="B984" s="197"/>
      <c r="C984" s="197"/>
      <c r="D984" s="197"/>
      <c r="E984" s="197"/>
      <c r="F984" s="197"/>
      <c r="G984" s="197"/>
      <c r="H984" s="197"/>
      <c r="I984" s="197"/>
      <c r="J984" s="197"/>
      <c r="K984" s="197"/>
      <c r="L984" s="197"/>
      <c r="M984" s="197"/>
      <c r="N984" s="197"/>
      <c r="O984" s="197"/>
      <c r="P984" s="197"/>
      <c r="Q984" s="197"/>
      <c r="R984" s="197"/>
      <c r="S984" s="198"/>
      <c r="T984" s="197"/>
      <c r="U984" s="199" t="s">
        <v>1536</v>
      </c>
      <c r="V984" s="152">
        <v>1354500</v>
      </c>
      <c r="W984" s="451">
        <v>0</v>
      </c>
      <c r="X984" s="200"/>
      <c r="Y984" s="200"/>
    </row>
    <row r="985" spans="1:25">
      <c r="A985" s="181"/>
      <c r="B985" s="182"/>
      <c r="C985" s="182"/>
      <c r="D985" s="182"/>
      <c r="E985" s="182"/>
      <c r="F985" s="182"/>
      <c r="G985" s="182"/>
      <c r="H985" s="182"/>
      <c r="I985" s="182"/>
      <c r="J985" s="182"/>
      <c r="K985" s="182"/>
      <c r="L985" s="182"/>
      <c r="M985" s="182"/>
      <c r="N985" s="182"/>
      <c r="O985" s="182"/>
      <c r="P985" s="182"/>
      <c r="Q985" s="182"/>
      <c r="R985" s="182"/>
      <c r="S985" s="182"/>
      <c r="T985" s="182"/>
      <c r="U985" s="183"/>
      <c r="V985" s="168">
        <f t="shared" ref="V985:Y985" si="125">SUM(V964:V984)</f>
        <v>46189800</v>
      </c>
      <c r="W985" s="334">
        <f t="shared" si="125"/>
        <v>118159300</v>
      </c>
      <c r="X985" s="168">
        <f t="shared" si="125"/>
        <v>33000000</v>
      </c>
      <c r="Y985" s="168">
        <f t="shared" si="125"/>
        <v>0</v>
      </c>
    </row>
    <row r="987" spans="1:25">
      <c r="U987" s="190" t="s">
        <v>1218</v>
      </c>
      <c r="V987" s="191"/>
    </row>
    <row r="988" spans="1:25">
      <c r="U988" s="144" t="s">
        <v>2181</v>
      </c>
      <c r="V988" s="191">
        <v>118159300</v>
      </c>
    </row>
    <row r="991" spans="1:25" ht="26.25">
      <c r="A991" s="175" t="s">
        <v>136</v>
      </c>
      <c r="B991" s="176"/>
      <c r="C991" s="176"/>
      <c r="D991" s="176"/>
      <c r="E991" s="176"/>
      <c r="F991" s="176"/>
      <c r="G991" s="176"/>
      <c r="H991" s="176"/>
      <c r="I991" s="176"/>
      <c r="J991" s="176"/>
      <c r="K991" s="176"/>
      <c r="L991" s="176"/>
      <c r="M991" s="176"/>
      <c r="N991" s="176"/>
      <c r="O991" s="176"/>
      <c r="P991" s="176"/>
      <c r="Q991" s="176"/>
      <c r="R991" s="176"/>
      <c r="S991" s="176"/>
      <c r="T991" s="176"/>
      <c r="U991" s="176"/>
      <c r="V991" s="176"/>
      <c r="W991" s="345"/>
      <c r="X991" s="176"/>
      <c r="Y991" s="176"/>
    </row>
    <row r="992" spans="1:25" ht="25.5">
      <c r="A992" s="162"/>
      <c r="B992" s="163"/>
      <c r="C992" s="163"/>
      <c r="D992" s="163"/>
      <c r="E992" s="163"/>
      <c r="F992" s="163"/>
      <c r="G992" s="163"/>
      <c r="H992" s="163"/>
      <c r="I992" s="163"/>
      <c r="J992" s="163"/>
      <c r="K992" s="163"/>
      <c r="L992" s="163"/>
      <c r="M992" s="163"/>
      <c r="N992" s="163"/>
      <c r="O992" s="163"/>
      <c r="P992" s="163"/>
      <c r="Q992" s="163"/>
      <c r="R992" s="163"/>
      <c r="S992" s="163"/>
      <c r="T992" s="163"/>
      <c r="U992" s="178" t="s">
        <v>2223</v>
      </c>
      <c r="V992" s="165">
        <v>255077816</v>
      </c>
      <c r="W992" s="451">
        <v>285446805</v>
      </c>
      <c r="X992" s="165"/>
      <c r="Y992" s="165"/>
    </row>
    <row r="993" spans="1:25" ht="39">
      <c r="A993" s="162"/>
      <c r="B993" s="163"/>
      <c r="C993" s="163"/>
      <c r="D993" s="163"/>
      <c r="E993" s="163"/>
      <c r="F993" s="163"/>
      <c r="G993" s="163"/>
      <c r="H993" s="163"/>
      <c r="I993" s="163"/>
      <c r="J993" s="163"/>
      <c r="K993" s="163"/>
      <c r="L993" s="163"/>
      <c r="M993" s="163"/>
      <c r="N993" s="163"/>
      <c r="O993" s="163"/>
      <c r="P993" s="163"/>
      <c r="Q993" s="163"/>
      <c r="R993" s="163"/>
      <c r="S993" s="163"/>
      <c r="T993" s="163"/>
      <c r="U993" s="178" t="s">
        <v>2459</v>
      </c>
      <c r="V993" s="165"/>
      <c r="W993" s="451">
        <v>0</v>
      </c>
      <c r="X993" s="152">
        <v>40000000</v>
      </c>
      <c r="Y993" s="152">
        <v>45000000</v>
      </c>
    </row>
    <row r="994" spans="1:25" ht="25.5">
      <c r="A994" s="162"/>
      <c r="B994" s="163"/>
      <c r="C994" s="163"/>
      <c r="D994" s="163"/>
      <c r="E994" s="163"/>
      <c r="F994" s="163"/>
      <c r="G994" s="163"/>
      <c r="H994" s="163"/>
      <c r="I994" s="163"/>
      <c r="J994" s="163"/>
      <c r="K994" s="163"/>
      <c r="L994" s="163"/>
      <c r="M994" s="163"/>
      <c r="N994" s="163"/>
      <c r="O994" s="163"/>
      <c r="P994" s="163"/>
      <c r="Q994" s="163"/>
      <c r="R994" s="163"/>
      <c r="S994" s="163"/>
      <c r="T994" s="163"/>
      <c r="U994" s="178" t="s">
        <v>2458</v>
      </c>
      <c r="V994" s="165">
        <v>2195000000</v>
      </c>
      <c r="W994" s="451">
        <v>700000000</v>
      </c>
      <c r="X994" s="165"/>
      <c r="Y994" s="165"/>
    </row>
    <row r="995" spans="1:25" ht="25.5">
      <c r="A995" s="162"/>
      <c r="B995" s="163"/>
      <c r="C995" s="163"/>
      <c r="D995" s="163"/>
      <c r="E995" s="163"/>
      <c r="F995" s="163"/>
      <c r="G995" s="163"/>
      <c r="H995" s="163"/>
      <c r="I995" s="163"/>
      <c r="J995" s="163"/>
      <c r="K995" s="163"/>
      <c r="L995" s="163"/>
      <c r="M995" s="163"/>
      <c r="N995" s="163"/>
      <c r="O995" s="163"/>
      <c r="P995" s="163"/>
      <c r="Q995" s="163"/>
      <c r="R995" s="163"/>
      <c r="S995" s="163"/>
      <c r="T995" s="163"/>
      <c r="U995" s="178" t="s">
        <v>2224</v>
      </c>
      <c r="V995" s="165"/>
      <c r="W995" s="451">
        <v>211600000</v>
      </c>
      <c r="X995" s="165"/>
      <c r="Y995" s="165"/>
    </row>
    <row r="996" spans="1:25" ht="25.5">
      <c r="A996" s="162"/>
      <c r="B996" s="163"/>
      <c r="C996" s="163"/>
      <c r="D996" s="163"/>
      <c r="E996" s="163"/>
      <c r="F996" s="163"/>
      <c r="G996" s="163"/>
      <c r="H996" s="163"/>
      <c r="I996" s="163"/>
      <c r="J996" s="163"/>
      <c r="K996" s="163"/>
      <c r="L996" s="163"/>
      <c r="M996" s="163"/>
      <c r="N996" s="163"/>
      <c r="O996" s="163"/>
      <c r="P996" s="163"/>
      <c r="Q996" s="163"/>
      <c r="R996" s="163"/>
      <c r="S996" s="163"/>
      <c r="T996" s="163"/>
      <c r="U996" s="178" t="s">
        <v>2225</v>
      </c>
      <c r="V996" s="165"/>
      <c r="W996" s="451">
        <v>0</v>
      </c>
      <c r="X996" s="165"/>
      <c r="Y996" s="165"/>
    </row>
    <row r="997" spans="1:25">
      <c r="A997" s="162"/>
      <c r="B997" s="163"/>
      <c r="C997" s="163"/>
      <c r="D997" s="163"/>
      <c r="E997" s="163"/>
      <c r="F997" s="163"/>
      <c r="G997" s="163"/>
      <c r="H997" s="163"/>
      <c r="I997" s="163"/>
      <c r="J997" s="163"/>
      <c r="K997" s="163"/>
      <c r="L997" s="163"/>
      <c r="M997" s="163"/>
      <c r="N997" s="163"/>
      <c r="O997" s="163"/>
      <c r="P997" s="163"/>
      <c r="Q997" s="163"/>
      <c r="R997" s="163"/>
      <c r="S997" s="163"/>
      <c r="T997" s="163"/>
      <c r="U997" s="178" t="s">
        <v>2226</v>
      </c>
      <c r="V997" s="165"/>
      <c r="W997" s="451">
        <v>8000000</v>
      </c>
      <c r="X997" s="165">
        <v>7000000</v>
      </c>
      <c r="Y997" s="165">
        <v>8000000</v>
      </c>
    </row>
    <row r="998" spans="1:25" ht="25.5">
      <c r="A998" s="162"/>
      <c r="B998" s="163"/>
      <c r="C998" s="163"/>
      <c r="D998" s="163"/>
      <c r="E998" s="163"/>
      <c r="F998" s="163"/>
      <c r="G998" s="163"/>
      <c r="H998" s="163"/>
      <c r="I998" s="163"/>
      <c r="J998" s="163"/>
      <c r="K998" s="163"/>
      <c r="L998" s="163"/>
      <c r="M998" s="163"/>
      <c r="N998" s="163"/>
      <c r="O998" s="163"/>
      <c r="P998" s="163"/>
      <c r="Q998" s="163"/>
      <c r="R998" s="163"/>
      <c r="S998" s="163"/>
      <c r="T998" s="163"/>
      <c r="U998" s="178" t="s">
        <v>2227</v>
      </c>
      <c r="V998" s="165">
        <v>1000000000</v>
      </c>
      <c r="W998" s="451">
        <v>2983035202.1300001</v>
      </c>
      <c r="X998" s="165"/>
      <c r="Y998" s="165"/>
    </row>
    <row r="999" spans="1:25" ht="25.5">
      <c r="A999" s="162"/>
      <c r="B999" s="163"/>
      <c r="C999" s="163"/>
      <c r="D999" s="163"/>
      <c r="E999" s="163"/>
      <c r="F999" s="163"/>
      <c r="G999" s="163"/>
      <c r="H999" s="163"/>
      <c r="I999" s="163"/>
      <c r="J999" s="163"/>
      <c r="K999" s="163"/>
      <c r="L999" s="163"/>
      <c r="M999" s="163"/>
      <c r="N999" s="163"/>
      <c r="O999" s="163"/>
      <c r="P999" s="163"/>
      <c r="Q999" s="163"/>
      <c r="R999" s="163"/>
      <c r="S999" s="163"/>
      <c r="T999" s="163"/>
      <c r="U999" s="178" t="s">
        <v>2228</v>
      </c>
      <c r="V999" s="165"/>
      <c r="W999" s="451">
        <v>42000000</v>
      </c>
      <c r="X999" s="165"/>
      <c r="Y999" s="165"/>
    </row>
    <row r="1000" spans="1:25" ht="25.5">
      <c r="A1000" s="162"/>
      <c r="B1000" s="163"/>
      <c r="C1000" s="163"/>
      <c r="D1000" s="163"/>
      <c r="E1000" s="163"/>
      <c r="F1000" s="163"/>
      <c r="G1000" s="163"/>
      <c r="H1000" s="163"/>
      <c r="I1000" s="163"/>
      <c r="J1000" s="163"/>
      <c r="K1000" s="163"/>
      <c r="L1000" s="163"/>
      <c r="M1000" s="163"/>
      <c r="N1000" s="163"/>
      <c r="O1000" s="163"/>
      <c r="P1000" s="163"/>
      <c r="Q1000" s="163"/>
      <c r="R1000" s="163"/>
      <c r="S1000" s="163"/>
      <c r="T1000" s="163"/>
      <c r="U1000" s="178" t="s">
        <v>2229</v>
      </c>
      <c r="V1000" s="165"/>
      <c r="W1000" s="451">
        <v>36000000</v>
      </c>
      <c r="X1000" s="165"/>
      <c r="Y1000" s="165"/>
    </row>
    <row r="1001" spans="1:25">
      <c r="A1001" s="162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3"/>
      <c r="U1001" s="178" t="s">
        <v>1928</v>
      </c>
      <c r="V1001" s="165"/>
      <c r="W1001" s="451">
        <v>670000</v>
      </c>
      <c r="X1001" s="165"/>
      <c r="Y1001" s="165"/>
    </row>
    <row r="1002" spans="1:25" ht="38.25">
      <c r="A1002" s="162"/>
      <c r="B1002" s="163"/>
      <c r="C1002" s="163"/>
      <c r="D1002" s="163"/>
      <c r="E1002" s="163"/>
      <c r="F1002" s="163"/>
      <c r="G1002" s="163"/>
      <c r="H1002" s="163"/>
      <c r="I1002" s="163"/>
      <c r="J1002" s="163"/>
      <c r="K1002" s="163"/>
      <c r="L1002" s="163"/>
      <c r="M1002" s="163"/>
      <c r="N1002" s="163"/>
      <c r="O1002" s="163"/>
      <c r="P1002" s="163"/>
      <c r="Q1002" s="163"/>
      <c r="R1002" s="163"/>
      <c r="S1002" s="163"/>
      <c r="T1002" s="163"/>
      <c r="U1002" s="178" t="s">
        <v>2230</v>
      </c>
      <c r="V1002" s="165"/>
      <c r="W1002" s="451">
        <v>9400000</v>
      </c>
      <c r="X1002" s="165"/>
      <c r="Y1002" s="165"/>
    </row>
    <row r="1003" spans="1:25" s="148" customFormat="1" ht="25.5">
      <c r="A1003" s="196"/>
      <c r="B1003" s="197"/>
      <c r="C1003" s="197"/>
      <c r="D1003" s="197"/>
      <c r="E1003" s="197"/>
      <c r="F1003" s="197"/>
      <c r="G1003" s="197"/>
      <c r="H1003" s="197"/>
      <c r="I1003" s="197"/>
      <c r="J1003" s="197"/>
      <c r="K1003" s="197"/>
      <c r="L1003" s="197"/>
      <c r="M1003" s="197"/>
      <c r="N1003" s="197"/>
      <c r="O1003" s="197"/>
      <c r="P1003" s="197"/>
      <c r="Q1003" s="197"/>
      <c r="R1003" s="197"/>
      <c r="S1003" s="198"/>
      <c r="T1003" s="197"/>
      <c r="U1003" s="166" t="s">
        <v>1537</v>
      </c>
      <c r="V1003" s="152">
        <v>24000000</v>
      </c>
      <c r="W1003" s="451">
        <v>0</v>
      </c>
      <c r="X1003" s="200"/>
      <c r="Y1003" s="200"/>
    </row>
    <row r="1004" spans="1:25" s="148" customFormat="1" ht="25.5">
      <c r="A1004" s="196"/>
      <c r="B1004" s="197"/>
      <c r="C1004" s="197"/>
      <c r="D1004" s="197"/>
      <c r="E1004" s="197"/>
      <c r="F1004" s="197"/>
      <c r="G1004" s="197"/>
      <c r="H1004" s="197"/>
      <c r="I1004" s="197"/>
      <c r="J1004" s="197"/>
      <c r="K1004" s="197"/>
      <c r="L1004" s="197"/>
      <c r="M1004" s="197"/>
      <c r="N1004" s="197"/>
      <c r="O1004" s="197"/>
      <c r="P1004" s="197"/>
      <c r="Q1004" s="197"/>
      <c r="R1004" s="197"/>
      <c r="S1004" s="198"/>
      <c r="T1004" s="197"/>
      <c r="U1004" s="166" t="s">
        <v>2231</v>
      </c>
      <c r="V1004" s="152">
        <v>23032000</v>
      </c>
      <c r="W1004" s="451">
        <v>0</v>
      </c>
      <c r="X1004" s="200"/>
      <c r="Y1004" s="200"/>
    </row>
    <row r="1005" spans="1:25" s="148" customFormat="1" ht="25.5">
      <c r="A1005" s="196"/>
      <c r="B1005" s="197"/>
      <c r="C1005" s="197"/>
      <c r="D1005" s="197"/>
      <c r="E1005" s="197"/>
      <c r="F1005" s="197"/>
      <c r="G1005" s="197"/>
      <c r="H1005" s="197"/>
      <c r="I1005" s="197"/>
      <c r="J1005" s="197"/>
      <c r="K1005" s="197"/>
      <c r="L1005" s="197"/>
      <c r="M1005" s="197"/>
      <c r="N1005" s="197"/>
      <c r="O1005" s="197"/>
      <c r="P1005" s="197"/>
      <c r="Q1005" s="197"/>
      <c r="R1005" s="197"/>
      <c r="S1005" s="198"/>
      <c r="T1005" s="197"/>
      <c r="U1005" s="166" t="s">
        <v>2232</v>
      </c>
      <c r="V1005" s="152">
        <v>1200000</v>
      </c>
      <c r="W1005" s="451">
        <v>0</v>
      </c>
      <c r="X1005" s="200"/>
      <c r="Y1005" s="200"/>
    </row>
    <row r="1006" spans="1:25" s="148" customFormat="1" ht="15">
      <c r="A1006" s="196"/>
      <c r="B1006" s="197"/>
      <c r="C1006" s="197"/>
      <c r="D1006" s="197"/>
      <c r="E1006" s="197"/>
      <c r="F1006" s="197"/>
      <c r="G1006" s="197"/>
      <c r="H1006" s="197"/>
      <c r="I1006" s="197"/>
      <c r="J1006" s="197"/>
      <c r="K1006" s="197"/>
      <c r="L1006" s="197"/>
      <c r="M1006" s="197"/>
      <c r="N1006" s="197"/>
      <c r="O1006" s="197"/>
      <c r="P1006" s="197"/>
      <c r="Q1006" s="197"/>
      <c r="R1006" s="197"/>
      <c r="S1006" s="198"/>
      <c r="T1006" s="197"/>
      <c r="U1006" s="166" t="s">
        <v>2233</v>
      </c>
      <c r="V1006" s="152"/>
      <c r="W1006" s="451">
        <v>0</v>
      </c>
      <c r="X1006" s="152">
        <v>20000000</v>
      </c>
      <c r="Y1006" s="152">
        <v>22000000</v>
      </c>
    </row>
    <row r="1007" spans="1:25" s="148" customFormat="1" ht="25.5">
      <c r="A1007" s="196"/>
      <c r="B1007" s="197"/>
      <c r="C1007" s="197"/>
      <c r="D1007" s="197"/>
      <c r="E1007" s="197"/>
      <c r="F1007" s="197"/>
      <c r="G1007" s="197"/>
      <c r="H1007" s="197"/>
      <c r="I1007" s="197"/>
      <c r="J1007" s="197"/>
      <c r="K1007" s="197"/>
      <c r="L1007" s="197"/>
      <c r="M1007" s="197"/>
      <c r="N1007" s="197"/>
      <c r="O1007" s="197"/>
      <c r="P1007" s="197"/>
      <c r="Q1007" s="197"/>
      <c r="R1007" s="197"/>
      <c r="S1007" s="198"/>
      <c r="T1007" s="197"/>
      <c r="U1007" s="166" t="s">
        <v>2234</v>
      </c>
      <c r="V1007" s="152"/>
      <c r="W1007" s="451">
        <v>0</v>
      </c>
      <c r="X1007" s="152">
        <v>30000000</v>
      </c>
      <c r="Y1007" s="152"/>
    </row>
    <row r="1008" spans="1:25" s="148" customFormat="1" ht="25.5">
      <c r="A1008" s="196"/>
      <c r="B1008" s="197"/>
      <c r="C1008" s="197"/>
      <c r="D1008" s="197"/>
      <c r="E1008" s="197"/>
      <c r="F1008" s="197"/>
      <c r="G1008" s="197"/>
      <c r="H1008" s="197"/>
      <c r="I1008" s="197"/>
      <c r="J1008" s="197"/>
      <c r="K1008" s="197"/>
      <c r="L1008" s="197"/>
      <c r="M1008" s="197"/>
      <c r="N1008" s="197"/>
      <c r="O1008" s="197"/>
      <c r="P1008" s="197"/>
      <c r="Q1008" s="197"/>
      <c r="R1008" s="197"/>
      <c r="S1008" s="198"/>
      <c r="T1008" s="197"/>
      <c r="U1008" s="166" t="s">
        <v>2235</v>
      </c>
      <c r="V1008" s="152"/>
      <c r="W1008" s="451">
        <v>0</v>
      </c>
      <c r="X1008" s="152">
        <v>15000000</v>
      </c>
      <c r="Y1008" s="152">
        <v>25000000</v>
      </c>
    </row>
    <row r="1009" spans="1:25" s="148" customFormat="1" ht="25.5">
      <c r="A1009" s="196"/>
      <c r="B1009" s="197"/>
      <c r="C1009" s="197"/>
      <c r="D1009" s="197"/>
      <c r="E1009" s="197"/>
      <c r="F1009" s="197"/>
      <c r="G1009" s="197"/>
      <c r="H1009" s="197"/>
      <c r="I1009" s="197"/>
      <c r="J1009" s="197"/>
      <c r="K1009" s="197"/>
      <c r="L1009" s="197"/>
      <c r="M1009" s="197"/>
      <c r="N1009" s="197"/>
      <c r="O1009" s="197"/>
      <c r="P1009" s="197"/>
      <c r="Q1009" s="197"/>
      <c r="R1009" s="197"/>
      <c r="S1009" s="198"/>
      <c r="T1009" s="197"/>
      <c r="U1009" s="166" t="s">
        <v>2236</v>
      </c>
      <c r="V1009" s="152"/>
      <c r="W1009" s="451">
        <v>0</v>
      </c>
      <c r="X1009" s="152">
        <v>20000000</v>
      </c>
      <c r="Y1009" s="152">
        <v>25000000</v>
      </c>
    </row>
    <row r="1010" spans="1:25" s="148" customFormat="1" ht="25.5">
      <c r="A1010" s="196"/>
      <c r="B1010" s="197"/>
      <c r="C1010" s="197"/>
      <c r="D1010" s="197"/>
      <c r="E1010" s="197"/>
      <c r="F1010" s="197"/>
      <c r="G1010" s="197"/>
      <c r="H1010" s="197"/>
      <c r="I1010" s="197"/>
      <c r="J1010" s="197"/>
      <c r="K1010" s="197"/>
      <c r="L1010" s="197"/>
      <c r="M1010" s="197"/>
      <c r="N1010" s="197"/>
      <c r="O1010" s="197"/>
      <c r="P1010" s="197"/>
      <c r="Q1010" s="197"/>
      <c r="R1010" s="197"/>
      <c r="S1010" s="198"/>
      <c r="T1010" s="197"/>
      <c r="U1010" s="166" t="s">
        <v>2237</v>
      </c>
      <c r="V1010" s="152"/>
      <c r="W1010" s="451">
        <v>0</v>
      </c>
      <c r="X1010" s="152">
        <v>30000000</v>
      </c>
      <c r="Y1010" s="152">
        <v>30000000</v>
      </c>
    </row>
    <row r="1011" spans="1:25" s="148" customFormat="1" ht="25.5">
      <c r="A1011" s="196"/>
      <c r="B1011" s="197"/>
      <c r="C1011" s="197"/>
      <c r="D1011" s="197"/>
      <c r="E1011" s="197"/>
      <c r="F1011" s="197"/>
      <c r="G1011" s="197"/>
      <c r="H1011" s="197"/>
      <c r="I1011" s="197"/>
      <c r="J1011" s="197"/>
      <c r="K1011" s="197"/>
      <c r="L1011" s="197"/>
      <c r="M1011" s="197"/>
      <c r="N1011" s="197"/>
      <c r="O1011" s="197"/>
      <c r="P1011" s="197"/>
      <c r="Q1011" s="197"/>
      <c r="R1011" s="197"/>
      <c r="S1011" s="198"/>
      <c r="T1011" s="197"/>
      <c r="U1011" s="166" t="s">
        <v>2238</v>
      </c>
      <c r="V1011" s="152"/>
      <c r="W1011" s="451">
        <v>0</v>
      </c>
      <c r="X1011" s="152">
        <v>5000000</v>
      </c>
      <c r="Y1011" s="152">
        <v>7000000</v>
      </c>
    </row>
    <row r="1012" spans="1:25" s="148" customFormat="1" ht="15">
      <c r="A1012" s="196"/>
      <c r="B1012" s="197"/>
      <c r="C1012" s="197"/>
      <c r="D1012" s="197"/>
      <c r="E1012" s="197"/>
      <c r="F1012" s="197"/>
      <c r="G1012" s="197"/>
      <c r="H1012" s="197"/>
      <c r="I1012" s="197"/>
      <c r="J1012" s="197"/>
      <c r="K1012" s="197"/>
      <c r="L1012" s="197"/>
      <c r="M1012" s="197"/>
      <c r="N1012" s="197"/>
      <c r="O1012" s="197"/>
      <c r="P1012" s="197"/>
      <c r="Q1012" s="197"/>
      <c r="R1012" s="197"/>
      <c r="S1012" s="198"/>
      <c r="T1012" s="197"/>
      <c r="U1012" s="166" t="s">
        <v>2239</v>
      </c>
      <c r="V1012" s="152"/>
      <c r="W1012" s="451">
        <v>0</v>
      </c>
      <c r="X1012" s="152">
        <v>6000000</v>
      </c>
      <c r="Y1012" s="152">
        <v>8000000</v>
      </c>
    </row>
    <row r="1013" spans="1:25" s="148" customFormat="1" ht="15">
      <c r="A1013" s="196"/>
      <c r="B1013" s="197"/>
      <c r="C1013" s="197"/>
      <c r="D1013" s="197"/>
      <c r="E1013" s="197"/>
      <c r="F1013" s="197"/>
      <c r="G1013" s="197"/>
      <c r="H1013" s="197"/>
      <c r="I1013" s="197"/>
      <c r="J1013" s="197"/>
      <c r="K1013" s="197"/>
      <c r="L1013" s="197"/>
      <c r="M1013" s="197"/>
      <c r="N1013" s="197"/>
      <c r="O1013" s="197"/>
      <c r="P1013" s="197"/>
      <c r="Q1013" s="197"/>
      <c r="R1013" s="197"/>
      <c r="S1013" s="198"/>
      <c r="T1013" s="197"/>
      <c r="U1013" s="166" t="s">
        <v>2240</v>
      </c>
      <c r="V1013" s="152"/>
      <c r="W1013" s="451">
        <v>0</v>
      </c>
      <c r="X1013" s="152">
        <v>2000000</v>
      </c>
      <c r="Y1013" s="152">
        <v>3000000</v>
      </c>
    </row>
    <row r="1014" spans="1:25" s="148" customFormat="1" ht="25.5">
      <c r="A1014" s="196"/>
      <c r="B1014" s="197"/>
      <c r="C1014" s="197"/>
      <c r="D1014" s="197"/>
      <c r="E1014" s="197"/>
      <c r="F1014" s="197"/>
      <c r="G1014" s="197"/>
      <c r="H1014" s="197"/>
      <c r="I1014" s="197"/>
      <c r="J1014" s="197"/>
      <c r="K1014" s="197"/>
      <c r="L1014" s="197"/>
      <c r="M1014" s="197"/>
      <c r="N1014" s="197"/>
      <c r="O1014" s="197"/>
      <c r="P1014" s="197"/>
      <c r="Q1014" s="197"/>
      <c r="R1014" s="197"/>
      <c r="S1014" s="198"/>
      <c r="T1014" s="197"/>
      <c r="U1014" s="166" t="s">
        <v>2241</v>
      </c>
      <c r="V1014" s="152"/>
      <c r="W1014" s="451">
        <v>0</v>
      </c>
      <c r="X1014" s="152">
        <v>20000000</v>
      </c>
      <c r="Y1014" s="152">
        <v>13000000</v>
      </c>
    </row>
    <row r="1015" spans="1:25" s="148" customFormat="1" ht="25.5">
      <c r="A1015" s="196"/>
      <c r="B1015" s="197"/>
      <c r="C1015" s="197"/>
      <c r="D1015" s="197"/>
      <c r="E1015" s="197"/>
      <c r="F1015" s="197"/>
      <c r="G1015" s="197"/>
      <c r="H1015" s="197"/>
      <c r="I1015" s="197"/>
      <c r="J1015" s="197"/>
      <c r="K1015" s="197"/>
      <c r="L1015" s="197"/>
      <c r="M1015" s="197"/>
      <c r="N1015" s="197"/>
      <c r="O1015" s="197"/>
      <c r="P1015" s="197"/>
      <c r="Q1015" s="197"/>
      <c r="R1015" s="197"/>
      <c r="S1015" s="198"/>
      <c r="T1015" s="197"/>
      <c r="U1015" s="166" t="s">
        <v>2242</v>
      </c>
      <c r="V1015" s="152"/>
      <c r="W1015" s="451">
        <v>0</v>
      </c>
      <c r="X1015" s="152">
        <v>15000000</v>
      </c>
      <c r="Y1015" s="152">
        <v>16000000</v>
      </c>
    </row>
    <row r="1016" spans="1:25" s="148" customFormat="1" ht="15">
      <c r="A1016" s="196"/>
      <c r="B1016" s="197"/>
      <c r="C1016" s="197"/>
      <c r="D1016" s="197"/>
      <c r="E1016" s="197"/>
      <c r="F1016" s="197"/>
      <c r="G1016" s="197"/>
      <c r="H1016" s="197"/>
      <c r="I1016" s="197"/>
      <c r="J1016" s="197"/>
      <c r="K1016" s="197"/>
      <c r="L1016" s="197"/>
      <c r="M1016" s="197"/>
      <c r="N1016" s="197"/>
      <c r="O1016" s="197"/>
      <c r="P1016" s="197"/>
      <c r="Q1016" s="197"/>
      <c r="R1016" s="197"/>
      <c r="S1016" s="198"/>
      <c r="T1016" s="197"/>
      <c r="U1016" s="166" t="s">
        <v>2460</v>
      </c>
      <c r="V1016" s="152"/>
      <c r="W1016" s="451">
        <v>0</v>
      </c>
      <c r="X1016" s="152">
        <v>10000000</v>
      </c>
      <c r="Y1016" s="152">
        <v>15000000</v>
      </c>
    </row>
    <row r="1017" spans="1:25" s="148" customFormat="1" ht="25.5">
      <c r="A1017" s="196"/>
      <c r="B1017" s="197"/>
      <c r="C1017" s="197"/>
      <c r="D1017" s="197"/>
      <c r="E1017" s="197"/>
      <c r="F1017" s="197"/>
      <c r="G1017" s="197"/>
      <c r="H1017" s="197"/>
      <c r="I1017" s="197"/>
      <c r="J1017" s="197"/>
      <c r="K1017" s="197"/>
      <c r="L1017" s="197"/>
      <c r="M1017" s="197"/>
      <c r="N1017" s="197"/>
      <c r="O1017" s="197"/>
      <c r="P1017" s="197"/>
      <c r="Q1017" s="197"/>
      <c r="R1017" s="197"/>
      <c r="S1017" s="198"/>
      <c r="T1017" s="197"/>
      <c r="U1017" s="166" t="s">
        <v>2243</v>
      </c>
      <c r="V1017" s="152"/>
      <c r="W1017" s="451">
        <v>0</v>
      </c>
      <c r="X1017" s="152">
        <v>6000000</v>
      </c>
      <c r="Y1017" s="152">
        <v>3000000</v>
      </c>
    </row>
    <row r="1018" spans="1:25" s="148" customFormat="1" ht="51">
      <c r="A1018" s="196"/>
      <c r="B1018" s="197"/>
      <c r="C1018" s="197"/>
      <c r="D1018" s="197"/>
      <c r="E1018" s="197"/>
      <c r="F1018" s="197"/>
      <c r="G1018" s="197"/>
      <c r="H1018" s="197"/>
      <c r="I1018" s="197"/>
      <c r="J1018" s="197"/>
      <c r="K1018" s="197"/>
      <c r="L1018" s="197"/>
      <c r="M1018" s="197"/>
      <c r="N1018" s="197"/>
      <c r="O1018" s="197"/>
      <c r="P1018" s="197"/>
      <c r="Q1018" s="197"/>
      <c r="R1018" s="197"/>
      <c r="S1018" s="198"/>
      <c r="T1018" s="197"/>
      <c r="U1018" s="166" t="s">
        <v>2461</v>
      </c>
      <c r="V1018" s="152"/>
      <c r="W1018" s="451">
        <v>0</v>
      </c>
      <c r="X1018" s="152">
        <v>78000000</v>
      </c>
      <c r="Y1018" s="152">
        <v>90000000</v>
      </c>
    </row>
    <row r="1019" spans="1:25" s="184" customFormat="1" ht="15">
      <c r="A1019" s="181"/>
      <c r="B1019" s="182"/>
      <c r="C1019" s="182"/>
      <c r="D1019" s="182"/>
      <c r="E1019" s="182"/>
      <c r="F1019" s="182"/>
      <c r="G1019" s="182"/>
      <c r="H1019" s="182"/>
      <c r="I1019" s="182"/>
      <c r="J1019" s="182"/>
      <c r="K1019" s="182"/>
      <c r="L1019" s="182"/>
      <c r="M1019" s="182"/>
      <c r="N1019" s="182"/>
      <c r="O1019" s="182"/>
      <c r="P1019" s="182"/>
      <c r="Q1019" s="182"/>
      <c r="R1019" s="182"/>
      <c r="S1019" s="182"/>
      <c r="T1019" s="182"/>
      <c r="U1019" s="183"/>
      <c r="V1019" s="157">
        <f t="shared" ref="V1019:Y1019" si="126">SUM(V992:V1018)</f>
        <v>3498309816</v>
      </c>
      <c r="W1019" s="334">
        <f t="shared" ref="W1019" si="127">SUM(W992:W1018)</f>
        <v>4276152007.1300001</v>
      </c>
      <c r="X1019" s="157">
        <f t="shared" si="126"/>
        <v>304000000</v>
      </c>
      <c r="Y1019" s="157">
        <f t="shared" si="126"/>
        <v>310000000</v>
      </c>
    </row>
    <row r="1021" spans="1:25">
      <c r="U1021" s="185" t="s">
        <v>1218</v>
      </c>
    </row>
    <row r="1022" spans="1:25">
      <c r="U1022" s="185" t="s">
        <v>1538</v>
      </c>
    </row>
    <row r="1023" spans="1:25">
      <c r="U1023" s="144" t="s">
        <v>1274</v>
      </c>
      <c r="V1023" s="145">
        <v>199812763</v>
      </c>
    </row>
    <row r="1024" spans="1:25">
      <c r="U1024" s="144" t="s">
        <v>1539</v>
      </c>
      <c r="V1024" s="145">
        <v>42817021</v>
      </c>
    </row>
    <row r="1025" spans="1:25">
      <c r="U1025" s="144" t="s">
        <v>1540</v>
      </c>
      <c r="V1025" s="145">
        <v>42817021</v>
      </c>
    </row>
    <row r="1026" spans="1:25" ht="13.5" thickBot="1">
      <c r="V1026" s="354">
        <f>SUM(V1023:V1025)</f>
        <v>285446805</v>
      </c>
    </row>
    <row r="1028" spans="1:25">
      <c r="U1028" s="185" t="s">
        <v>2181</v>
      </c>
      <c r="V1028" s="262">
        <v>1990705202.1300001</v>
      </c>
    </row>
    <row r="1029" spans="1:25" ht="15">
      <c r="U1029" s="228" t="s">
        <v>2180</v>
      </c>
      <c r="V1029" s="145">
        <v>2000000000</v>
      </c>
    </row>
    <row r="1031" spans="1:25" ht="26.25">
      <c r="A1031" s="175" t="s">
        <v>1541</v>
      </c>
      <c r="B1031" s="176"/>
      <c r="C1031" s="176"/>
      <c r="D1031" s="176"/>
      <c r="E1031" s="176"/>
      <c r="F1031" s="176"/>
      <c r="G1031" s="176"/>
      <c r="H1031" s="176"/>
      <c r="I1031" s="176"/>
      <c r="J1031" s="176"/>
      <c r="K1031" s="176"/>
      <c r="L1031" s="176"/>
      <c r="M1031" s="176"/>
      <c r="N1031" s="176"/>
      <c r="O1031" s="176"/>
      <c r="P1031" s="176"/>
      <c r="Q1031" s="176"/>
      <c r="R1031" s="176"/>
      <c r="S1031" s="176"/>
      <c r="T1031" s="176"/>
      <c r="U1031" s="176"/>
      <c r="V1031" s="176"/>
      <c r="W1031" s="345"/>
      <c r="X1031" s="176"/>
      <c r="Y1031" s="176"/>
    </row>
    <row r="1032" spans="1:25" ht="25.5">
      <c r="A1032" s="162"/>
      <c r="B1032" s="163"/>
      <c r="C1032" s="163"/>
      <c r="D1032" s="163"/>
      <c r="E1032" s="163"/>
      <c r="F1032" s="163"/>
      <c r="G1032" s="163"/>
      <c r="H1032" s="163"/>
      <c r="I1032" s="163"/>
      <c r="J1032" s="163"/>
      <c r="K1032" s="163"/>
      <c r="L1032" s="163"/>
      <c r="M1032" s="163"/>
      <c r="N1032" s="163"/>
      <c r="O1032" s="163"/>
      <c r="P1032" s="163"/>
      <c r="Q1032" s="163"/>
      <c r="R1032" s="163"/>
      <c r="S1032" s="163"/>
      <c r="T1032" s="163"/>
      <c r="U1032" s="178" t="s">
        <v>2624</v>
      </c>
      <c r="V1032" s="165">
        <v>402786155</v>
      </c>
      <c r="W1032" s="451">
        <v>240238000</v>
      </c>
      <c r="X1032" s="165"/>
      <c r="Y1032" s="165"/>
    </row>
    <row r="1033" spans="1:25" ht="25.5">
      <c r="A1033" s="162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3"/>
      <c r="U1033" s="178" t="s">
        <v>2625</v>
      </c>
      <c r="V1033" s="165"/>
      <c r="W1033" s="451">
        <v>85238000</v>
      </c>
      <c r="X1033" s="165"/>
      <c r="Y1033" s="165"/>
    </row>
    <row r="1034" spans="1:25" ht="38.25">
      <c r="A1034" s="162"/>
      <c r="B1034" s="163"/>
      <c r="C1034" s="163"/>
      <c r="D1034" s="163"/>
      <c r="E1034" s="163"/>
      <c r="F1034" s="163"/>
      <c r="G1034" s="163"/>
      <c r="H1034" s="163"/>
      <c r="I1034" s="163"/>
      <c r="J1034" s="163"/>
      <c r="K1034" s="163"/>
      <c r="L1034" s="163"/>
      <c r="M1034" s="163"/>
      <c r="N1034" s="163"/>
      <c r="O1034" s="163"/>
      <c r="P1034" s="163"/>
      <c r="Q1034" s="163"/>
      <c r="R1034" s="163"/>
      <c r="S1034" s="163"/>
      <c r="T1034" s="163"/>
      <c r="U1034" s="178" t="s">
        <v>2626</v>
      </c>
      <c r="V1034" s="165"/>
      <c r="W1034" s="451">
        <v>100238000</v>
      </c>
      <c r="X1034" s="165"/>
      <c r="Y1034" s="165"/>
    </row>
    <row r="1035" spans="1:25" ht="25.5">
      <c r="A1035" s="162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3"/>
      <c r="U1035" s="178" t="s">
        <v>2219</v>
      </c>
      <c r="V1035" s="165">
        <v>30000000</v>
      </c>
      <c r="W1035" s="451">
        <v>150238000</v>
      </c>
      <c r="X1035" s="165"/>
      <c r="Y1035" s="165"/>
    </row>
    <row r="1036" spans="1:25" ht="25.5">
      <c r="A1036" s="162"/>
      <c r="B1036" s="163"/>
      <c r="C1036" s="163"/>
      <c r="D1036" s="163"/>
      <c r="E1036" s="163"/>
      <c r="F1036" s="163"/>
      <c r="G1036" s="163"/>
      <c r="H1036" s="163"/>
      <c r="I1036" s="163"/>
      <c r="J1036" s="163"/>
      <c r="K1036" s="163"/>
      <c r="L1036" s="163"/>
      <c r="M1036" s="163"/>
      <c r="N1036" s="163"/>
      <c r="O1036" s="163"/>
      <c r="P1036" s="163"/>
      <c r="Q1036" s="163"/>
      <c r="R1036" s="163"/>
      <c r="S1036" s="163"/>
      <c r="T1036" s="163"/>
      <c r="U1036" s="178" t="s">
        <v>2627</v>
      </c>
      <c r="V1036" s="165"/>
      <c r="W1036" s="451">
        <v>18829400</v>
      </c>
      <c r="X1036" s="165"/>
      <c r="Y1036" s="165"/>
    </row>
    <row r="1037" spans="1:25" ht="25.5">
      <c r="A1037" s="162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3"/>
      <c r="U1037" s="178" t="s">
        <v>1542</v>
      </c>
      <c r="V1037" s="165"/>
      <c r="W1037" s="451">
        <v>94167555</v>
      </c>
      <c r="X1037" s="165"/>
      <c r="Y1037" s="165"/>
    </row>
    <row r="1038" spans="1:25" ht="25.5">
      <c r="A1038" s="162"/>
      <c r="B1038" s="163"/>
      <c r="C1038" s="163"/>
      <c r="D1038" s="163"/>
      <c r="E1038" s="163"/>
      <c r="F1038" s="163"/>
      <c r="G1038" s="163"/>
      <c r="H1038" s="163"/>
      <c r="I1038" s="163"/>
      <c r="J1038" s="163"/>
      <c r="K1038" s="163"/>
      <c r="L1038" s="163"/>
      <c r="M1038" s="163"/>
      <c r="N1038" s="163"/>
      <c r="O1038" s="163"/>
      <c r="P1038" s="163"/>
      <c r="Q1038" s="163"/>
      <c r="R1038" s="163"/>
      <c r="S1038" s="163"/>
      <c r="T1038" s="163"/>
      <c r="U1038" s="178" t="s">
        <v>1543</v>
      </c>
      <c r="V1038" s="165"/>
      <c r="W1038" s="451">
        <v>80210000</v>
      </c>
      <c r="X1038" s="165"/>
      <c r="Y1038" s="165"/>
    </row>
    <row r="1039" spans="1:25" ht="25.5">
      <c r="A1039" s="162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3"/>
      <c r="U1039" s="178" t="s">
        <v>1929</v>
      </c>
      <c r="V1039" s="165"/>
      <c r="W1039" s="451">
        <v>80246400</v>
      </c>
      <c r="X1039" s="165"/>
      <c r="Y1039" s="165"/>
    </row>
    <row r="1040" spans="1:25">
      <c r="A1040" s="162"/>
      <c r="B1040" s="163"/>
      <c r="C1040" s="163"/>
      <c r="D1040" s="163"/>
      <c r="E1040" s="163"/>
      <c r="F1040" s="163"/>
      <c r="G1040" s="163"/>
      <c r="H1040" s="163"/>
      <c r="I1040" s="163"/>
      <c r="J1040" s="163"/>
      <c r="K1040" s="163"/>
      <c r="L1040" s="163"/>
      <c r="M1040" s="163"/>
      <c r="N1040" s="163"/>
      <c r="O1040" s="163"/>
      <c r="P1040" s="163"/>
      <c r="Q1040" s="163"/>
      <c r="R1040" s="163"/>
      <c r="S1040" s="163"/>
      <c r="T1040" s="163"/>
      <c r="U1040" s="178" t="s">
        <v>1930</v>
      </c>
      <c r="V1040" s="165"/>
      <c r="W1040" s="451">
        <v>37246400</v>
      </c>
      <c r="X1040" s="165"/>
      <c r="Y1040" s="165"/>
    </row>
    <row r="1041" spans="1:25">
      <c r="A1041" s="162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3"/>
      <c r="U1041" s="178" t="s">
        <v>1931</v>
      </c>
      <c r="V1041" s="165"/>
      <c r="W1041" s="451">
        <v>37246400</v>
      </c>
      <c r="X1041" s="165"/>
      <c r="Y1041" s="165"/>
    </row>
    <row r="1042" spans="1:25">
      <c r="A1042" s="162"/>
      <c r="B1042" s="163"/>
      <c r="C1042" s="163"/>
      <c r="D1042" s="163"/>
      <c r="E1042" s="163"/>
      <c r="F1042" s="163"/>
      <c r="G1042" s="163"/>
      <c r="H1042" s="163"/>
      <c r="I1042" s="163"/>
      <c r="J1042" s="163"/>
      <c r="K1042" s="163"/>
      <c r="L1042" s="163"/>
      <c r="M1042" s="163"/>
      <c r="N1042" s="163"/>
      <c r="O1042" s="163"/>
      <c r="P1042" s="163"/>
      <c r="Q1042" s="163"/>
      <c r="R1042" s="163"/>
      <c r="S1042" s="163"/>
      <c r="T1042" s="163"/>
      <c r="U1042" s="178" t="s">
        <v>1932</v>
      </c>
      <c r="V1042" s="165">
        <v>2650000</v>
      </c>
      <c r="W1042" s="451">
        <v>0</v>
      </c>
      <c r="X1042" s="165">
        <v>15000000</v>
      </c>
      <c r="Y1042" s="165">
        <v>2000000</v>
      </c>
    </row>
    <row r="1043" spans="1:25">
      <c r="A1043" s="162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3"/>
      <c r="U1043" s="178" t="s">
        <v>1544</v>
      </c>
      <c r="V1043" s="165"/>
      <c r="W1043" s="451">
        <v>5042000</v>
      </c>
      <c r="X1043" s="165"/>
      <c r="Y1043" s="165"/>
    </row>
    <row r="1044" spans="1:25" ht="25.5">
      <c r="A1044" s="162"/>
      <c r="B1044" s="163"/>
      <c r="C1044" s="163"/>
      <c r="D1044" s="163"/>
      <c r="E1044" s="163"/>
      <c r="F1044" s="163"/>
      <c r="G1044" s="163"/>
      <c r="H1044" s="163"/>
      <c r="I1044" s="163"/>
      <c r="J1044" s="163"/>
      <c r="K1044" s="163"/>
      <c r="L1044" s="163"/>
      <c r="M1044" s="163"/>
      <c r="N1044" s="163"/>
      <c r="O1044" s="163"/>
      <c r="P1044" s="163"/>
      <c r="Q1044" s="163"/>
      <c r="R1044" s="163"/>
      <c r="S1044" s="163"/>
      <c r="T1044" s="163"/>
      <c r="U1044" s="178" t="s">
        <v>2462</v>
      </c>
      <c r="V1044" s="165"/>
      <c r="W1044" s="451">
        <v>738000</v>
      </c>
      <c r="X1044" s="165"/>
      <c r="Y1044" s="165"/>
    </row>
    <row r="1045" spans="1:25" ht="25.5">
      <c r="A1045" s="162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3"/>
      <c r="U1045" s="178" t="s">
        <v>1545</v>
      </c>
      <c r="V1045" s="165"/>
      <c r="W1045" s="451">
        <v>738000</v>
      </c>
      <c r="X1045" s="165"/>
      <c r="Y1045" s="165"/>
    </row>
    <row r="1046" spans="1:25" ht="25.5">
      <c r="A1046" s="162"/>
      <c r="B1046" s="163"/>
      <c r="C1046" s="163"/>
      <c r="D1046" s="163"/>
      <c r="E1046" s="163"/>
      <c r="F1046" s="163"/>
      <c r="G1046" s="163"/>
      <c r="H1046" s="163"/>
      <c r="I1046" s="163"/>
      <c r="J1046" s="163"/>
      <c r="K1046" s="163"/>
      <c r="L1046" s="163"/>
      <c r="M1046" s="163"/>
      <c r="N1046" s="163"/>
      <c r="O1046" s="163"/>
      <c r="P1046" s="163"/>
      <c r="Q1046" s="163"/>
      <c r="R1046" s="163"/>
      <c r="S1046" s="163"/>
      <c r="T1046" s="163"/>
      <c r="U1046" s="178" t="s">
        <v>1546</v>
      </c>
      <c r="V1046" s="165"/>
      <c r="W1046" s="451">
        <v>100238000</v>
      </c>
      <c r="X1046" s="165"/>
      <c r="Y1046" s="165"/>
    </row>
    <row r="1047" spans="1:25" ht="25.5">
      <c r="A1047" s="162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3"/>
      <c r="U1047" s="178" t="s">
        <v>2220</v>
      </c>
      <c r="V1047" s="165"/>
      <c r="W1047" s="451">
        <v>130666306</v>
      </c>
      <c r="X1047" s="165"/>
      <c r="Y1047" s="165"/>
    </row>
    <row r="1048" spans="1:25" s="148" customFormat="1" ht="25.5">
      <c r="A1048" s="196"/>
      <c r="B1048" s="179"/>
      <c r="C1048" s="179"/>
      <c r="D1048" s="179"/>
      <c r="E1048" s="179"/>
      <c r="F1048" s="179"/>
      <c r="G1048" s="179"/>
      <c r="H1048" s="179"/>
      <c r="I1048" s="179"/>
      <c r="J1048" s="179"/>
      <c r="K1048" s="179"/>
      <c r="L1048" s="179"/>
      <c r="M1048" s="179"/>
      <c r="N1048" s="179"/>
      <c r="O1048" s="179"/>
      <c r="P1048" s="179"/>
      <c r="Q1048" s="179"/>
      <c r="R1048" s="179"/>
      <c r="S1048" s="180"/>
      <c r="T1048" s="179"/>
      <c r="U1048" s="166" t="s">
        <v>2221</v>
      </c>
      <c r="V1048" s="165">
        <v>480000</v>
      </c>
      <c r="W1048" s="451">
        <v>0</v>
      </c>
      <c r="X1048" s="163"/>
      <c r="Y1048" s="163"/>
    </row>
    <row r="1049" spans="1:25" s="148" customFormat="1" ht="15">
      <c r="A1049" s="196"/>
      <c r="B1049" s="179"/>
      <c r="C1049" s="179"/>
      <c r="D1049" s="179"/>
      <c r="E1049" s="179"/>
      <c r="F1049" s="179"/>
      <c r="G1049" s="179"/>
      <c r="H1049" s="179"/>
      <c r="I1049" s="179"/>
      <c r="J1049" s="179"/>
      <c r="K1049" s="179"/>
      <c r="L1049" s="179"/>
      <c r="M1049" s="179"/>
      <c r="N1049" s="179"/>
      <c r="O1049" s="179"/>
      <c r="P1049" s="179"/>
      <c r="Q1049" s="179"/>
      <c r="R1049" s="179"/>
      <c r="S1049" s="180"/>
      <c r="T1049" s="179"/>
      <c r="U1049" s="166" t="s">
        <v>2466</v>
      </c>
      <c r="V1049" s="165">
        <v>2500000</v>
      </c>
      <c r="W1049" s="451">
        <v>0</v>
      </c>
      <c r="X1049" s="163"/>
      <c r="Y1049" s="163"/>
    </row>
    <row r="1050" spans="1:25" s="148" customFormat="1" ht="15">
      <c r="A1050" s="196"/>
      <c r="B1050" s="179"/>
      <c r="C1050" s="179"/>
      <c r="D1050" s="179"/>
      <c r="E1050" s="179"/>
      <c r="F1050" s="179"/>
      <c r="G1050" s="179"/>
      <c r="H1050" s="179"/>
      <c r="I1050" s="179"/>
      <c r="J1050" s="179"/>
      <c r="K1050" s="179"/>
      <c r="L1050" s="179"/>
      <c r="M1050" s="179"/>
      <c r="N1050" s="179"/>
      <c r="O1050" s="179"/>
      <c r="P1050" s="179"/>
      <c r="Q1050" s="179"/>
      <c r="R1050" s="179"/>
      <c r="S1050" s="180"/>
      <c r="T1050" s="179"/>
      <c r="U1050" s="166" t="s">
        <v>2222</v>
      </c>
      <c r="V1050" s="165">
        <v>400000000</v>
      </c>
      <c r="W1050" s="451">
        <v>0</v>
      </c>
      <c r="X1050" s="163"/>
      <c r="Y1050" s="163"/>
    </row>
    <row r="1051" spans="1:25" s="148" customFormat="1" ht="25.5">
      <c r="A1051" s="196"/>
      <c r="B1051" s="179"/>
      <c r="C1051" s="179"/>
      <c r="D1051" s="179"/>
      <c r="E1051" s="179"/>
      <c r="F1051" s="179"/>
      <c r="G1051" s="179"/>
      <c r="H1051" s="179"/>
      <c r="I1051" s="179"/>
      <c r="J1051" s="179"/>
      <c r="K1051" s="179"/>
      <c r="L1051" s="179"/>
      <c r="M1051" s="179"/>
      <c r="N1051" s="179"/>
      <c r="O1051" s="179"/>
      <c r="P1051" s="179"/>
      <c r="Q1051" s="179"/>
      <c r="R1051" s="179"/>
      <c r="S1051" s="180"/>
      <c r="T1051" s="179"/>
      <c r="U1051" s="166" t="s">
        <v>2463</v>
      </c>
      <c r="V1051" s="165"/>
      <c r="W1051" s="451">
        <v>0</v>
      </c>
      <c r="X1051" s="165">
        <v>10000000</v>
      </c>
      <c r="Y1051" s="165">
        <v>15000000</v>
      </c>
    </row>
    <row r="1052" spans="1:25" s="148" customFormat="1" ht="15">
      <c r="A1052" s="196"/>
      <c r="B1052" s="179"/>
      <c r="C1052" s="179"/>
      <c r="D1052" s="179"/>
      <c r="E1052" s="179"/>
      <c r="F1052" s="179"/>
      <c r="G1052" s="179"/>
      <c r="H1052" s="179"/>
      <c r="I1052" s="179"/>
      <c r="J1052" s="179"/>
      <c r="K1052" s="179"/>
      <c r="L1052" s="179"/>
      <c r="M1052" s="179"/>
      <c r="N1052" s="179"/>
      <c r="O1052" s="179"/>
      <c r="P1052" s="179"/>
      <c r="Q1052" s="179"/>
      <c r="R1052" s="179"/>
      <c r="S1052" s="180"/>
      <c r="T1052" s="179"/>
      <c r="U1052" s="166" t="s">
        <v>2464</v>
      </c>
      <c r="V1052" s="165"/>
      <c r="W1052" s="451">
        <v>0</v>
      </c>
      <c r="X1052" s="165">
        <v>15000000</v>
      </c>
      <c r="Y1052" s="165">
        <v>20000000</v>
      </c>
    </row>
    <row r="1053" spans="1:25" s="148" customFormat="1" ht="15">
      <c r="A1053" s="196"/>
      <c r="B1053" s="179"/>
      <c r="C1053" s="179"/>
      <c r="D1053" s="179"/>
      <c r="E1053" s="179"/>
      <c r="F1053" s="179"/>
      <c r="G1053" s="179"/>
      <c r="H1053" s="179"/>
      <c r="I1053" s="179"/>
      <c r="J1053" s="179"/>
      <c r="K1053" s="179"/>
      <c r="L1053" s="179"/>
      <c r="M1053" s="179"/>
      <c r="N1053" s="179"/>
      <c r="O1053" s="179"/>
      <c r="P1053" s="179"/>
      <c r="Q1053" s="179"/>
      <c r="R1053" s="179"/>
      <c r="S1053" s="180"/>
      <c r="T1053" s="179"/>
      <c r="U1053" s="166" t="s">
        <v>2465</v>
      </c>
      <c r="V1053" s="165"/>
      <c r="W1053" s="451">
        <v>0</v>
      </c>
      <c r="X1053" s="165">
        <v>15000000</v>
      </c>
      <c r="Y1053" s="165">
        <v>20000000</v>
      </c>
    </row>
    <row r="1054" spans="1:25" s="184" customFormat="1">
      <c r="A1054" s="181"/>
      <c r="B1054" s="182"/>
      <c r="C1054" s="182"/>
      <c r="D1054" s="182"/>
      <c r="E1054" s="182"/>
      <c r="F1054" s="182"/>
      <c r="G1054" s="182"/>
      <c r="H1054" s="182"/>
      <c r="I1054" s="182"/>
      <c r="J1054" s="182"/>
      <c r="K1054" s="182"/>
      <c r="L1054" s="182"/>
      <c r="M1054" s="182"/>
      <c r="N1054" s="182"/>
      <c r="O1054" s="182"/>
      <c r="P1054" s="182"/>
      <c r="Q1054" s="182"/>
      <c r="R1054" s="182"/>
      <c r="S1054" s="182"/>
      <c r="T1054" s="182"/>
      <c r="U1054" s="183"/>
      <c r="V1054" s="168">
        <f>SUM(V1032:V1053)</f>
        <v>838416155</v>
      </c>
      <c r="W1054" s="334">
        <f t="shared" ref="W1054:Y1054" si="128">SUM(W1032:W1053)</f>
        <v>1161320461</v>
      </c>
      <c r="X1054" s="168">
        <f>SUM(X1032:X1053)</f>
        <v>55000000</v>
      </c>
      <c r="Y1054" s="168">
        <f t="shared" si="128"/>
        <v>57000000</v>
      </c>
    </row>
    <row r="1056" spans="1:25">
      <c r="U1056" s="190" t="s">
        <v>1218</v>
      </c>
    </row>
    <row r="1057" spans="1:25">
      <c r="U1057" s="144" t="s">
        <v>2181</v>
      </c>
      <c r="V1057" s="262">
        <v>1061320461</v>
      </c>
    </row>
    <row r="1058" spans="1:25" ht="26.25">
      <c r="A1058" s="175" t="s">
        <v>121</v>
      </c>
      <c r="B1058" s="176"/>
      <c r="C1058" s="176"/>
      <c r="D1058" s="176"/>
      <c r="E1058" s="176"/>
      <c r="F1058" s="176"/>
      <c r="G1058" s="176"/>
      <c r="H1058" s="176"/>
      <c r="I1058" s="176"/>
      <c r="J1058" s="176"/>
      <c r="K1058" s="176"/>
      <c r="L1058" s="176"/>
      <c r="M1058" s="176"/>
      <c r="N1058" s="176"/>
      <c r="O1058" s="176"/>
      <c r="P1058" s="176"/>
      <c r="Q1058" s="176"/>
      <c r="R1058" s="176"/>
      <c r="S1058" s="176"/>
      <c r="T1058" s="176"/>
      <c r="U1058" s="176"/>
      <c r="V1058" s="176"/>
      <c r="W1058" s="345"/>
      <c r="X1058" s="176"/>
      <c r="Y1058" s="176"/>
    </row>
    <row r="1059" spans="1:25">
      <c r="A1059" s="162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3"/>
      <c r="U1059" s="178" t="s">
        <v>2214</v>
      </c>
      <c r="V1059" s="165">
        <v>78539520</v>
      </c>
      <c r="W1059" s="451">
        <v>90000000</v>
      </c>
      <c r="X1059" s="165">
        <v>243540000</v>
      </c>
      <c r="Y1059" s="165">
        <v>243540000</v>
      </c>
    </row>
    <row r="1060" spans="1:25">
      <c r="A1060" s="162"/>
      <c r="B1060" s="163"/>
      <c r="C1060" s="163"/>
      <c r="D1060" s="163"/>
      <c r="E1060" s="163"/>
      <c r="F1060" s="163"/>
      <c r="G1060" s="163"/>
      <c r="H1060" s="163"/>
      <c r="I1060" s="163"/>
      <c r="J1060" s="163"/>
      <c r="K1060" s="163"/>
      <c r="L1060" s="163"/>
      <c r="M1060" s="163"/>
      <c r="N1060" s="163"/>
      <c r="O1060" s="163"/>
      <c r="P1060" s="163"/>
      <c r="Q1060" s="163"/>
      <c r="R1060" s="163"/>
      <c r="S1060" s="163"/>
      <c r="T1060" s="163"/>
      <c r="U1060" s="178" t="s">
        <v>2215</v>
      </c>
      <c r="V1060" s="165"/>
      <c r="W1060" s="451">
        <v>30000000</v>
      </c>
      <c r="X1060" s="165">
        <v>108271450</v>
      </c>
      <c r="Y1060" s="165">
        <v>108271450</v>
      </c>
    </row>
    <row r="1061" spans="1:25" ht="25.5">
      <c r="A1061" s="162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3"/>
      <c r="U1061" s="178" t="s">
        <v>2216</v>
      </c>
      <c r="V1061" s="165"/>
      <c r="W1061" s="451">
        <v>4000000</v>
      </c>
      <c r="X1061" s="165">
        <v>4000000</v>
      </c>
      <c r="Y1061" s="165">
        <v>1200000</v>
      </c>
    </row>
    <row r="1062" spans="1:25">
      <c r="A1062" s="162"/>
      <c r="B1062" s="163"/>
      <c r="C1062" s="163"/>
      <c r="D1062" s="163"/>
      <c r="E1062" s="163"/>
      <c r="F1062" s="163"/>
      <c r="G1062" s="163"/>
      <c r="H1062" s="163"/>
      <c r="I1062" s="163"/>
      <c r="J1062" s="163"/>
      <c r="K1062" s="163"/>
      <c r="L1062" s="163"/>
      <c r="M1062" s="163"/>
      <c r="N1062" s="163"/>
      <c r="O1062" s="163"/>
      <c r="P1062" s="163"/>
      <c r="Q1062" s="163"/>
      <c r="R1062" s="163"/>
      <c r="S1062" s="163"/>
      <c r="T1062" s="163"/>
      <c r="U1062" s="178" t="s">
        <v>1547</v>
      </c>
      <c r="V1062" s="165"/>
      <c r="W1062" s="451">
        <v>233400000</v>
      </c>
      <c r="X1062" s="165">
        <v>773400000</v>
      </c>
      <c r="Y1062" s="165">
        <v>773400000</v>
      </c>
    </row>
    <row r="1063" spans="1:25">
      <c r="A1063" s="162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3"/>
      <c r="U1063" s="178" t="s">
        <v>2217</v>
      </c>
      <c r="V1063" s="165"/>
      <c r="W1063" s="451">
        <v>2000000</v>
      </c>
      <c r="X1063" s="165">
        <v>2000000</v>
      </c>
      <c r="Y1063" s="165">
        <v>2000000</v>
      </c>
    </row>
    <row r="1064" spans="1:25">
      <c r="A1064" s="162"/>
      <c r="B1064" s="163"/>
      <c r="C1064" s="163"/>
      <c r="D1064" s="163"/>
      <c r="E1064" s="163"/>
      <c r="F1064" s="163"/>
      <c r="G1064" s="163"/>
      <c r="H1064" s="163"/>
      <c r="I1064" s="163"/>
      <c r="J1064" s="163"/>
      <c r="K1064" s="163"/>
      <c r="L1064" s="163"/>
      <c r="M1064" s="163"/>
      <c r="N1064" s="163"/>
      <c r="O1064" s="163"/>
      <c r="P1064" s="163"/>
      <c r="Q1064" s="163"/>
      <c r="R1064" s="163"/>
      <c r="S1064" s="163"/>
      <c r="T1064" s="163"/>
      <c r="U1064" s="178" t="s">
        <v>1933</v>
      </c>
      <c r="V1064" s="165"/>
      <c r="W1064" s="451">
        <v>50000000</v>
      </c>
      <c r="X1064" s="165">
        <v>180000000</v>
      </c>
      <c r="Y1064" s="165">
        <v>180000000</v>
      </c>
    </row>
    <row r="1065" spans="1:25">
      <c r="A1065" s="162"/>
      <c r="B1065" s="179"/>
      <c r="C1065" s="179"/>
      <c r="D1065" s="179"/>
      <c r="E1065" s="179"/>
      <c r="F1065" s="179"/>
      <c r="G1065" s="179"/>
      <c r="H1065" s="179"/>
      <c r="I1065" s="179"/>
      <c r="J1065" s="179"/>
      <c r="K1065" s="179"/>
      <c r="L1065" s="179"/>
      <c r="M1065" s="179"/>
      <c r="N1065" s="179"/>
      <c r="O1065" s="179"/>
      <c r="P1065" s="179"/>
      <c r="Q1065" s="179"/>
      <c r="R1065" s="179"/>
      <c r="S1065" s="180"/>
      <c r="T1065" s="179"/>
      <c r="U1065" s="166" t="s">
        <v>1548</v>
      </c>
      <c r="V1065" s="165">
        <v>13300000</v>
      </c>
      <c r="W1065" s="451">
        <v>0</v>
      </c>
      <c r="X1065" s="163"/>
      <c r="Y1065" s="163"/>
    </row>
    <row r="1066" spans="1:25" ht="25.5">
      <c r="A1066" s="162"/>
      <c r="B1066" s="179"/>
      <c r="C1066" s="179"/>
      <c r="D1066" s="179"/>
      <c r="E1066" s="179"/>
      <c r="F1066" s="179"/>
      <c r="G1066" s="179"/>
      <c r="H1066" s="179"/>
      <c r="I1066" s="179"/>
      <c r="J1066" s="179"/>
      <c r="K1066" s="179"/>
      <c r="L1066" s="179"/>
      <c r="M1066" s="179"/>
      <c r="N1066" s="179"/>
      <c r="O1066" s="179"/>
      <c r="P1066" s="179"/>
      <c r="Q1066" s="179"/>
      <c r="R1066" s="179"/>
      <c r="S1066" s="180"/>
      <c r="T1066" s="179"/>
      <c r="U1066" s="166" t="s">
        <v>2218</v>
      </c>
      <c r="V1066" s="165">
        <v>1075680</v>
      </c>
      <c r="W1066" s="451">
        <v>0</v>
      </c>
      <c r="X1066" s="163"/>
      <c r="Y1066" s="163"/>
    </row>
    <row r="1067" spans="1:25" ht="25.5">
      <c r="A1067" s="162"/>
      <c r="B1067" s="179"/>
      <c r="C1067" s="179"/>
      <c r="D1067" s="179"/>
      <c r="E1067" s="179"/>
      <c r="F1067" s="179"/>
      <c r="G1067" s="179"/>
      <c r="H1067" s="179"/>
      <c r="I1067" s="179"/>
      <c r="J1067" s="179"/>
      <c r="K1067" s="179"/>
      <c r="L1067" s="179"/>
      <c r="M1067" s="179"/>
      <c r="N1067" s="179"/>
      <c r="O1067" s="179"/>
      <c r="P1067" s="179"/>
      <c r="Q1067" s="179"/>
      <c r="R1067" s="179"/>
      <c r="S1067" s="180"/>
      <c r="T1067" s="179"/>
      <c r="U1067" s="166" t="s">
        <v>1549</v>
      </c>
      <c r="V1067" s="165">
        <v>10800000</v>
      </c>
      <c r="W1067" s="451">
        <v>0</v>
      </c>
      <c r="X1067" s="163"/>
      <c r="Y1067" s="163"/>
    </row>
    <row r="1068" spans="1:25">
      <c r="A1068" s="162"/>
      <c r="B1068" s="179"/>
      <c r="C1068" s="179"/>
      <c r="D1068" s="179"/>
      <c r="E1068" s="179"/>
      <c r="F1068" s="179"/>
      <c r="G1068" s="179"/>
      <c r="H1068" s="179"/>
      <c r="I1068" s="179"/>
      <c r="J1068" s="179"/>
      <c r="K1068" s="179"/>
      <c r="L1068" s="179"/>
      <c r="M1068" s="179"/>
      <c r="N1068" s="179"/>
      <c r="O1068" s="179"/>
      <c r="P1068" s="179"/>
      <c r="Q1068" s="179"/>
      <c r="R1068" s="179"/>
      <c r="S1068" s="180"/>
      <c r="T1068" s="179"/>
      <c r="U1068" s="166" t="s">
        <v>1550</v>
      </c>
      <c r="V1068" s="165">
        <v>47659360</v>
      </c>
      <c r="W1068" s="451">
        <v>0</v>
      </c>
      <c r="X1068" s="163"/>
      <c r="Y1068" s="163"/>
    </row>
    <row r="1069" spans="1:25" s="184" customFormat="1">
      <c r="A1069" s="181"/>
      <c r="B1069" s="182"/>
      <c r="C1069" s="182"/>
      <c r="D1069" s="182"/>
      <c r="E1069" s="182"/>
      <c r="F1069" s="182"/>
      <c r="G1069" s="182"/>
      <c r="H1069" s="182"/>
      <c r="I1069" s="182"/>
      <c r="J1069" s="182"/>
      <c r="K1069" s="182"/>
      <c r="L1069" s="182"/>
      <c r="M1069" s="182"/>
      <c r="N1069" s="182"/>
      <c r="O1069" s="182"/>
      <c r="P1069" s="182"/>
      <c r="Q1069" s="182"/>
      <c r="R1069" s="182"/>
      <c r="S1069" s="182"/>
      <c r="T1069" s="182"/>
      <c r="U1069" s="183"/>
      <c r="V1069" s="168">
        <f t="shared" ref="V1069:Y1069" si="129">SUM(V1059:V1068)</f>
        <v>151374560</v>
      </c>
      <c r="W1069" s="334">
        <f t="shared" si="129"/>
        <v>409400000</v>
      </c>
      <c r="X1069" s="168">
        <f t="shared" si="129"/>
        <v>1311211450</v>
      </c>
      <c r="Y1069" s="168">
        <f t="shared" si="129"/>
        <v>1308411450</v>
      </c>
    </row>
    <row r="1071" spans="1:25">
      <c r="U1071" s="190" t="s">
        <v>1218</v>
      </c>
    </row>
    <row r="1072" spans="1:25">
      <c r="U1072" s="144" t="s">
        <v>2181</v>
      </c>
      <c r="V1072" s="262">
        <v>409400000</v>
      </c>
    </row>
    <row r="1074" spans="1:25" ht="26.25">
      <c r="A1074" s="175" t="s">
        <v>120</v>
      </c>
      <c r="B1074" s="176"/>
      <c r="C1074" s="176"/>
      <c r="D1074" s="176"/>
      <c r="E1074" s="176"/>
      <c r="F1074" s="176"/>
      <c r="G1074" s="176"/>
      <c r="H1074" s="176"/>
      <c r="I1074" s="176"/>
      <c r="J1074" s="176"/>
      <c r="K1074" s="176"/>
      <c r="L1074" s="176"/>
      <c r="M1074" s="176"/>
      <c r="N1074" s="176"/>
      <c r="O1074" s="176"/>
      <c r="P1074" s="176"/>
      <c r="Q1074" s="176"/>
      <c r="R1074" s="176"/>
      <c r="S1074" s="176"/>
      <c r="T1074" s="176"/>
      <c r="U1074" s="176"/>
      <c r="V1074" s="176"/>
      <c r="W1074" s="345"/>
      <c r="X1074" s="176"/>
      <c r="Y1074" s="176"/>
    </row>
    <row r="1075" spans="1:25" ht="25.5">
      <c r="A1075" s="181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3"/>
      <c r="U1075" s="178" t="s">
        <v>2467</v>
      </c>
      <c r="V1075" s="165">
        <v>50000000</v>
      </c>
      <c r="W1075" s="451">
        <v>0</v>
      </c>
      <c r="X1075" s="165"/>
      <c r="Y1075" s="165"/>
    </row>
    <row r="1076" spans="1:25">
      <c r="A1076" s="181"/>
      <c r="B1076" s="163"/>
      <c r="C1076" s="163"/>
      <c r="D1076" s="163"/>
      <c r="E1076" s="163"/>
      <c r="F1076" s="163"/>
      <c r="G1076" s="163"/>
      <c r="H1076" s="163"/>
      <c r="I1076" s="163"/>
      <c r="J1076" s="163"/>
      <c r="K1076" s="163"/>
      <c r="L1076" s="163"/>
      <c r="M1076" s="163"/>
      <c r="N1076" s="163"/>
      <c r="O1076" s="163"/>
      <c r="P1076" s="163"/>
      <c r="Q1076" s="163"/>
      <c r="R1076" s="163"/>
      <c r="S1076" s="163"/>
      <c r="T1076" s="163"/>
      <c r="U1076" s="178" t="s">
        <v>2468</v>
      </c>
      <c r="V1076" s="165">
        <v>12500000</v>
      </c>
      <c r="W1076" s="451">
        <v>10000000</v>
      </c>
      <c r="X1076" s="165"/>
      <c r="Y1076" s="165"/>
    </row>
    <row r="1077" spans="1:25">
      <c r="A1077" s="181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3"/>
      <c r="U1077" s="178" t="s">
        <v>2469</v>
      </c>
      <c r="V1077" s="165">
        <v>12500000</v>
      </c>
      <c r="W1077" s="451">
        <v>10000000</v>
      </c>
      <c r="X1077" s="165"/>
      <c r="Y1077" s="165"/>
    </row>
    <row r="1078" spans="1:25">
      <c r="A1078" s="181"/>
      <c r="B1078" s="163"/>
      <c r="C1078" s="163"/>
      <c r="D1078" s="163"/>
      <c r="E1078" s="163"/>
      <c r="F1078" s="163"/>
      <c r="G1078" s="163"/>
      <c r="H1078" s="163"/>
      <c r="I1078" s="163"/>
      <c r="J1078" s="163"/>
      <c r="K1078" s="163"/>
      <c r="L1078" s="163"/>
      <c r="M1078" s="163"/>
      <c r="N1078" s="163"/>
      <c r="O1078" s="163"/>
      <c r="P1078" s="163"/>
      <c r="Q1078" s="163"/>
      <c r="R1078" s="163"/>
      <c r="S1078" s="163"/>
      <c r="T1078" s="163"/>
      <c r="U1078" s="178" t="s">
        <v>1934</v>
      </c>
      <c r="V1078" s="165">
        <v>12500000</v>
      </c>
      <c r="W1078" s="451">
        <v>10000000</v>
      </c>
      <c r="X1078" s="165"/>
      <c r="Y1078" s="165"/>
    </row>
    <row r="1079" spans="1:25">
      <c r="A1079" s="181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3"/>
      <c r="U1079" s="178" t="s">
        <v>1935</v>
      </c>
      <c r="V1079" s="165">
        <v>12500000</v>
      </c>
      <c r="W1079" s="451">
        <v>10000000</v>
      </c>
      <c r="X1079" s="165"/>
      <c r="Y1079" s="165"/>
    </row>
    <row r="1080" spans="1:25" ht="25.5">
      <c r="A1080" s="181"/>
      <c r="B1080" s="163"/>
      <c r="C1080" s="163"/>
      <c r="D1080" s="163"/>
      <c r="E1080" s="163"/>
      <c r="F1080" s="163"/>
      <c r="G1080" s="163"/>
      <c r="H1080" s="163"/>
      <c r="I1080" s="163"/>
      <c r="J1080" s="163"/>
      <c r="K1080" s="163"/>
      <c r="L1080" s="163"/>
      <c r="M1080" s="163"/>
      <c r="N1080" s="163"/>
      <c r="O1080" s="163"/>
      <c r="P1080" s="163"/>
      <c r="Q1080" s="163"/>
      <c r="R1080" s="163"/>
      <c r="S1080" s="163"/>
      <c r="T1080" s="163"/>
      <c r="U1080" s="178" t="s">
        <v>2470</v>
      </c>
      <c r="V1080" s="165"/>
      <c r="W1080" s="451">
        <v>20500000</v>
      </c>
      <c r="X1080" s="165"/>
      <c r="Y1080" s="165"/>
    </row>
    <row r="1081" spans="1:25" ht="25.5">
      <c r="A1081" s="181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3"/>
      <c r="U1081" s="178" t="s">
        <v>2145</v>
      </c>
      <c r="V1081" s="165"/>
      <c r="W1081" s="451">
        <v>20000000</v>
      </c>
      <c r="X1081" s="165"/>
      <c r="Y1081" s="165"/>
    </row>
    <row r="1082" spans="1:25" ht="25.5">
      <c r="A1082" s="181"/>
      <c r="B1082" s="163"/>
      <c r="C1082" s="163"/>
      <c r="D1082" s="163"/>
      <c r="E1082" s="163"/>
      <c r="F1082" s="163"/>
      <c r="G1082" s="163"/>
      <c r="H1082" s="163"/>
      <c r="I1082" s="163"/>
      <c r="J1082" s="163"/>
      <c r="K1082" s="163"/>
      <c r="L1082" s="163"/>
      <c r="M1082" s="163"/>
      <c r="N1082" s="163"/>
      <c r="O1082" s="163"/>
      <c r="P1082" s="163"/>
      <c r="Q1082" s="163"/>
      <c r="R1082" s="163"/>
      <c r="S1082" s="163"/>
      <c r="T1082" s="163"/>
      <c r="U1082" s="178" t="s">
        <v>2146</v>
      </c>
      <c r="V1082" s="165"/>
      <c r="W1082" s="451">
        <v>30000000</v>
      </c>
      <c r="X1082" s="165"/>
      <c r="Y1082" s="165"/>
    </row>
    <row r="1083" spans="1:25" ht="25.5">
      <c r="A1083" s="181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3"/>
      <c r="U1083" s="178" t="s">
        <v>2471</v>
      </c>
      <c r="V1083" s="165"/>
      <c r="W1083" s="451">
        <v>20000000</v>
      </c>
      <c r="X1083" s="165"/>
      <c r="Y1083" s="165"/>
    </row>
    <row r="1084" spans="1:25" ht="25.5">
      <c r="A1084" s="181"/>
      <c r="B1084" s="163"/>
      <c r="C1084" s="163"/>
      <c r="D1084" s="163"/>
      <c r="E1084" s="163"/>
      <c r="F1084" s="163"/>
      <c r="G1084" s="163"/>
      <c r="H1084" s="163"/>
      <c r="I1084" s="163"/>
      <c r="J1084" s="163"/>
      <c r="K1084" s="163"/>
      <c r="L1084" s="163"/>
      <c r="M1084" s="163"/>
      <c r="N1084" s="163"/>
      <c r="O1084" s="163"/>
      <c r="P1084" s="163"/>
      <c r="Q1084" s="163"/>
      <c r="R1084" s="163"/>
      <c r="S1084" s="163"/>
      <c r="T1084" s="163"/>
      <c r="U1084" s="178" t="s">
        <v>2147</v>
      </c>
      <c r="V1084" s="165"/>
      <c r="W1084" s="451">
        <v>35000000</v>
      </c>
      <c r="X1084" s="165"/>
      <c r="Y1084" s="165"/>
    </row>
    <row r="1085" spans="1:25" ht="25.5">
      <c r="A1085" s="181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3"/>
      <c r="U1085" s="178" t="s">
        <v>2148</v>
      </c>
      <c r="V1085" s="165"/>
      <c r="W1085" s="451">
        <v>30000000</v>
      </c>
      <c r="X1085" s="165"/>
      <c r="Y1085" s="165"/>
    </row>
    <row r="1086" spans="1:25">
      <c r="A1086" s="181"/>
      <c r="B1086" s="163"/>
      <c r="C1086" s="163"/>
      <c r="D1086" s="163"/>
      <c r="E1086" s="163"/>
      <c r="F1086" s="163"/>
      <c r="G1086" s="163"/>
      <c r="H1086" s="163"/>
      <c r="I1086" s="163"/>
      <c r="J1086" s="163"/>
      <c r="K1086" s="163"/>
      <c r="L1086" s="163"/>
      <c r="M1086" s="163"/>
      <c r="N1086" s="163"/>
      <c r="O1086" s="163"/>
      <c r="P1086" s="163"/>
      <c r="Q1086" s="163"/>
      <c r="R1086" s="163"/>
      <c r="S1086" s="163"/>
      <c r="T1086" s="163"/>
      <c r="U1086" s="178" t="s">
        <v>2472</v>
      </c>
      <c r="V1086" s="165">
        <v>47400000</v>
      </c>
      <c r="W1086" s="451">
        <v>55000000</v>
      </c>
      <c r="X1086" s="165"/>
      <c r="Y1086" s="165"/>
    </row>
    <row r="1087" spans="1:25" ht="38.25">
      <c r="A1087" s="181"/>
      <c r="B1087" s="163"/>
      <c r="C1087" s="163"/>
      <c r="D1087" s="163"/>
      <c r="E1087" s="163"/>
      <c r="F1087" s="163"/>
      <c r="G1087" s="163"/>
      <c r="H1087" s="163"/>
      <c r="I1087" s="163"/>
      <c r="J1087" s="163"/>
      <c r="K1087" s="163"/>
      <c r="L1087" s="163"/>
      <c r="M1087" s="163"/>
      <c r="N1087" s="163"/>
      <c r="O1087" s="163"/>
      <c r="P1087" s="163"/>
      <c r="Q1087" s="163"/>
      <c r="R1087" s="163"/>
      <c r="S1087" s="163"/>
      <c r="T1087" s="163"/>
      <c r="U1087" s="178" t="s">
        <v>2473</v>
      </c>
      <c r="V1087" s="165"/>
      <c r="W1087" s="451">
        <v>4128000</v>
      </c>
      <c r="X1087" s="165"/>
      <c r="Y1087" s="165"/>
    </row>
    <row r="1088" spans="1:25">
      <c r="A1088" s="162"/>
      <c r="B1088" s="179"/>
      <c r="C1088" s="179"/>
      <c r="D1088" s="179"/>
      <c r="E1088" s="179"/>
      <c r="F1088" s="179"/>
      <c r="G1088" s="179"/>
      <c r="H1088" s="179"/>
      <c r="I1088" s="179"/>
      <c r="J1088" s="179"/>
      <c r="K1088" s="179"/>
      <c r="L1088" s="179"/>
      <c r="M1088" s="179"/>
      <c r="N1088" s="179"/>
      <c r="O1088" s="179"/>
      <c r="P1088" s="179"/>
      <c r="Q1088" s="179"/>
      <c r="R1088" s="179"/>
      <c r="S1088" s="179"/>
      <c r="T1088" s="179"/>
      <c r="U1088" s="166" t="s">
        <v>1551</v>
      </c>
      <c r="V1088" s="165">
        <v>30000000</v>
      </c>
      <c r="W1088" s="451">
        <v>0</v>
      </c>
      <c r="X1088" s="163"/>
      <c r="Y1088" s="163"/>
    </row>
    <row r="1089" spans="1:25" ht="25.5">
      <c r="A1089" s="162"/>
      <c r="B1089" s="179"/>
      <c r="C1089" s="179"/>
      <c r="D1089" s="179"/>
      <c r="E1089" s="179"/>
      <c r="F1089" s="179"/>
      <c r="G1089" s="179"/>
      <c r="H1089" s="179"/>
      <c r="I1089" s="179"/>
      <c r="J1089" s="179"/>
      <c r="K1089" s="179"/>
      <c r="L1089" s="179"/>
      <c r="M1089" s="179"/>
      <c r="N1089" s="179"/>
      <c r="O1089" s="179"/>
      <c r="P1089" s="179"/>
      <c r="Q1089" s="179"/>
      <c r="R1089" s="179"/>
      <c r="S1089" s="179"/>
      <c r="T1089" s="179"/>
      <c r="U1089" s="166" t="s">
        <v>2175</v>
      </c>
      <c r="V1089" s="165">
        <v>30000000</v>
      </c>
      <c r="W1089" s="451">
        <v>250000000</v>
      </c>
      <c r="X1089" s="366">
        <v>100000000</v>
      </c>
      <c r="Y1089" s="366">
        <v>50000000</v>
      </c>
    </row>
    <row r="1090" spans="1:25" ht="25.5">
      <c r="A1090" s="162"/>
      <c r="B1090" s="179"/>
      <c r="C1090" s="179"/>
      <c r="D1090" s="179"/>
      <c r="E1090" s="179"/>
      <c r="F1090" s="179"/>
      <c r="G1090" s="179"/>
      <c r="H1090" s="179"/>
      <c r="I1090" s="179"/>
      <c r="J1090" s="179"/>
      <c r="K1090" s="179"/>
      <c r="L1090" s="179"/>
      <c r="M1090" s="179"/>
      <c r="N1090" s="179"/>
      <c r="O1090" s="179"/>
      <c r="P1090" s="179"/>
      <c r="Q1090" s="179"/>
      <c r="R1090" s="179"/>
      <c r="S1090" s="179"/>
      <c r="T1090" s="179"/>
      <c r="U1090" s="166" t="s">
        <v>2474</v>
      </c>
      <c r="V1090" s="165"/>
      <c r="W1090" s="451">
        <v>100000000</v>
      </c>
      <c r="X1090" s="366">
        <v>100000000</v>
      </c>
      <c r="Y1090" s="366">
        <v>50000000</v>
      </c>
    </row>
    <row r="1091" spans="1:25" ht="25.5">
      <c r="A1091" s="162"/>
      <c r="B1091" s="179"/>
      <c r="C1091" s="179"/>
      <c r="D1091" s="179"/>
      <c r="E1091" s="179"/>
      <c r="F1091" s="179"/>
      <c r="G1091" s="179"/>
      <c r="H1091" s="179"/>
      <c r="I1091" s="179"/>
      <c r="J1091" s="179"/>
      <c r="K1091" s="179"/>
      <c r="L1091" s="179"/>
      <c r="M1091" s="179"/>
      <c r="N1091" s="179"/>
      <c r="O1091" s="179"/>
      <c r="P1091" s="179"/>
      <c r="Q1091" s="179"/>
      <c r="R1091" s="179"/>
      <c r="S1091" s="179"/>
      <c r="T1091" s="179"/>
      <c r="U1091" s="166" t="s">
        <v>2475</v>
      </c>
      <c r="V1091" s="165"/>
      <c r="W1091" s="451">
        <v>0</v>
      </c>
      <c r="X1091" s="366">
        <v>20000000</v>
      </c>
      <c r="Y1091" s="366"/>
    </row>
    <row r="1092" spans="1:25" ht="25.5">
      <c r="A1092" s="162"/>
      <c r="B1092" s="179"/>
      <c r="C1092" s="179"/>
      <c r="D1092" s="179"/>
      <c r="E1092" s="179"/>
      <c r="F1092" s="179"/>
      <c r="G1092" s="179"/>
      <c r="H1092" s="179"/>
      <c r="I1092" s="179"/>
      <c r="J1092" s="179"/>
      <c r="K1092" s="179"/>
      <c r="L1092" s="179"/>
      <c r="M1092" s="179"/>
      <c r="N1092" s="179"/>
      <c r="O1092" s="179"/>
      <c r="P1092" s="179"/>
      <c r="Q1092" s="179"/>
      <c r="R1092" s="179"/>
      <c r="S1092" s="179"/>
      <c r="T1092" s="179"/>
      <c r="U1092" s="166" t="s">
        <v>2476</v>
      </c>
      <c r="V1092" s="165"/>
      <c r="W1092" s="451">
        <v>0</v>
      </c>
      <c r="X1092" s="366">
        <v>30000000</v>
      </c>
      <c r="Y1092" s="366">
        <v>30000000</v>
      </c>
    </row>
    <row r="1093" spans="1:25" ht="25.5">
      <c r="A1093" s="162"/>
      <c r="B1093" s="179"/>
      <c r="C1093" s="179"/>
      <c r="D1093" s="179"/>
      <c r="E1093" s="179"/>
      <c r="F1093" s="179"/>
      <c r="G1093" s="179"/>
      <c r="H1093" s="179"/>
      <c r="I1093" s="179"/>
      <c r="J1093" s="179"/>
      <c r="K1093" s="179"/>
      <c r="L1093" s="179"/>
      <c r="M1093" s="179"/>
      <c r="N1093" s="179"/>
      <c r="O1093" s="179"/>
      <c r="P1093" s="179"/>
      <c r="Q1093" s="179"/>
      <c r="R1093" s="179"/>
      <c r="S1093" s="179"/>
      <c r="T1093" s="179"/>
      <c r="U1093" s="166" t="s">
        <v>2477</v>
      </c>
      <c r="V1093" s="165"/>
      <c r="W1093" s="451">
        <v>0</v>
      </c>
      <c r="X1093" s="366">
        <v>30000000</v>
      </c>
      <c r="Y1093" s="366">
        <v>50000000</v>
      </c>
    </row>
    <row r="1094" spans="1:25">
      <c r="A1094" s="162"/>
      <c r="B1094" s="179"/>
      <c r="C1094" s="179"/>
      <c r="D1094" s="179"/>
      <c r="E1094" s="179"/>
      <c r="F1094" s="179"/>
      <c r="G1094" s="179"/>
      <c r="H1094" s="179"/>
      <c r="I1094" s="179"/>
      <c r="J1094" s="179"/>
      <c r="K1094" s="179"/>
      <c r="L1094" s="179"/>
      <c r="M1094" s="179"/>
      <c r="N1094" s="179"/>
      <c r="O1094" s="179"/>
      <c r="P1094" s="179"/>
      <c r="Q1094" s="179"/>
      <c r="R1094" s="179"/>
      <c r="S1094" s="179"/>
      <c r="T1094" s="179"/>
      <c r="U1094" s="166" t="s">
        <v>2478</v>
      </c>
      <c r="V1094" s="165"/>
      <c r="W1094" s="451">
        <v>0</v>
      </c>
      <c r="X1094" s="366">
        <v>50000000</v>
      </c>
      <c r="Y1094" s="366">
        <v>50000000</v>
      </c>
    </row>
    <row r="1095" spans="1:25" s="184" customFormat="1">
      <c r="A1095" s="181"/>
      <c r="B1095" s="182"/>
      <c r="C1095" s="182"/>
      <c r="D1095" s="182"/>
      <c r="E1095" s="182"/>
      <c r="F1095" s="182"/>
      <c r="G1095" s="182"/>
      <c r="H1095" s="182"/>
      <c r="I1095" s="182"/>
      <c r="J1095" s="182"/>
      <c r="K1095" s="182"/>
      <c r="L1095" s="182"/>
      <c r="M1095" s="182"/>
      <c r="N1095" s="182"/>
      <c r="O1095" s="182"/>
      <c r="P1095" s="182"/>
      <c r="Q1095" s="182"/>
      <c r="R1095" s="182"/>
      <c r="S1095" s="182"/>
      <c r="T1095" s="182"/>
      <c r="U1095" s="183"/>
      <c r="V1095" s="168">
        <f>SUM(V1075:V1094)</f>
        <v>207400000</v>
      </c>
      <c r="W1095" s="334">
        <f t="shared" ref="W1095:Y1095" si="130">SUM(W1075:W1094)</f>
        <v>604628000</v>
      </c>
      <c r="X1095" s="168">
        <f t="shared" si="130"/>
        <v>330000000</v>
      </c>
      <c r="Y1095" s="168">
        <f t="shared" si="130"/>
        <v>230000000</v>
      </c>
    </row>
    <row r="1096" spans="1:25">
      <c r="A1096" s="204"/>
    </row>
    <row r="1097" spans="1:25">
      <c r="A1097" s="204"/>
    </row>
    <row r="1098" spans="1:25">
      <c r="A1098" s="204"/>
    </row>
    <row r="1099" spans="1:25">
      <c r="A1099" s="204"/>
    </row>
    <row r="1101" spans="1:25" ht="26.25">
      <c r="A1101" s="175" t="s">
        <v>119</v>
      </c>
      <c r="B1101" s="176"/>
      <c r="C1101" s="176"/>
      <c r="D1101" s="176"/>
      <c r="E1101" s="176"/>
      <c r="F1101" s="176"/>
      <c r="G1101" s="176"/>
      <c r="H1101" s="176"/>
      <c r="I1101" s="176"/>
      <c r="J1101" s="176"/>
      <c r="K1101" s="176"/>
      <c r="L1101" s="176"/>
      <c r="M1101" s="176"/>
      <c r="N1101" s="176"/>
      <c r="O1101" s="176"/>
      <c r="P1101" s="176"/>
      <c r="Q1101" s="176"/>
      <c r="R1101" s="176"/>
      <c r="S1101" s="176"/>
      <c r="T1101" s="176"/>
      <c r="U1101" s="176"/>
      <c r="V1101" s="176"/>
      <c r="W1101" s="345"/>
      <c r="X1101" s="176"/>
      <c r="Y1101" s="176"/>
    </row>
    <row r="1102" spans="1:25" ht="38.25">
      <c r="A1102" s="162"/>
      <c r="B1102" s="163"/>
      <c r="C1102" s="163"/>
      <c r="D1102" s="163"/>
      <c r="E1102" s="163"/>
      <c r="F1102" s="163"/>
      <c r="G1102" s="163"/>
      <c r="H1102" s="163"/>
      <c r="I1102" s="163"/>
      <c r="J1102" s="163"/>
      <c r="K1102" s="163"/>
      <c r="L1102" s="163"/>
      <c r="M1102" s="163"/>
      <c r="N1102" s="163"/>
      <c r="O1102" s="163"/>
      <c r="P1102" s="163"/>
      <c r="Q1102" s="163"/>
      <c r="R1102" s="163"/>
      <c r="S1102" s="163"/>
      <c r="T1102" s="163"/>
      <c r="U1102" s="178" t="s">
        <v>2479</v>
      </c>
      <c r="V1102" s="165"/>
      <c r="W1102" s="451">
        <v>90020000</v>
      </c>
      <c r="X1102" s="165"/>
      <c r="Y1102" s="165"/>
    </row>
    <row r="1103" spans="1:25">
      <c r="A1103" s="162"/>
      <c r="B1103" s="163"/>
      <c r="C1103" s="163"/>
      <c r="D1103" s="163"/>
      <c r="E1103" s="163"/>
      <c r="F1103" s="163"/>
      <c r="G1103" s="163"/>
      <c r="H1103" s="163"/>
      <c r="I1103" s="163"/>
      <c r="J1103" s="163"/>
      <c r="K1103" s="163"/>
      <c r="L1103" s="163"/>
      <c r="M1103" s="163"/>
      <c r="N1103" s="163"/>
      <c r="O1103" s="163"/>
      <c r="P1103" s="163"/>
      <c r="Q1103" s="163"/>
      <c r="R1103" s="163"/>
      <c r="S1103" s="163"/>
      <c r="T1103" s="163"/>
      <c r="U1103" s="178" t="s">
        <v>2149</v>
      </c>
      <c r="V1103" s="165"/>
      <c r="W1103" s="451">
        <v>80000000</v>
      </c>
      <c r="X1103" s="165"/>
      <c r="Y1103" s="165"/>
    </row>
    <row r="1104" spans="1:25">
      <c r="A1104" s="162"/>
      <c r="B1104" s="163"/>
      <c r="C1104" s="163"/>
      <c r="D1104" s="163"/>
      <c r="E1104" s="163"/>
      <c r="F1104" s="163"/>
      <c r="G1104" s="163"/>
      <c r="H1104" s="163"/>
      <c r="I1104" s="163"/>
      <c r="J1104" s="163"/>
      <c r="K1104" s="163"/>
      <c r="L1104" s="163"/>
      <c r="M1104" s="163"/>
      <c r="N1104" s="163"/>
      <c r="O1104" s="163"/>
      <c r="P1104" s="163"/>
      <c r="Q1104" s="163"/>
      <c r="R1104" s="163"/>
      <c r="S1104" s="163"/>
      <c r="T1104" s="163"/>
      <c r="U1104" s="178" t="s">
        <v>1936</v>
      </c>
      <c r="V1104" s="165"/>
      <c r="W1104" s="451">
        <v>25000000</v>
      </c>
      <c r="X1104" s="165"/>
      <c r="Y1104" s="165"/>
    </row>
    <row r="1105" spans="1:25" ht="25.5">
      <c r="A1105" s="162"/>
      <c r="B1105" s="163"/>
      <c r="C1105" s="163"/>
      <c r="D1105" s="163"/>
      <c r="E1105" s="163"/>
      <c r="F1105" s="163"/>
      <c r="G1105" s="163"/>
      <c r="H1105" s="163"/>
      <c r="I1105" s="163"/>
      <c r="J1105" s="163"/>
      <c r="K1105" s="163"/>
      <c r="L1105" s="163"/>
      <c r="M1105" s="163"/>
      <c r="N1105" s="163"/>
      <c r="O1105" s="163"/>
      <c r="P1105" s="163"/>
      <c r="Q1105" s="163"/>
      <c r="R1105" s="163"/>
      <c r="S1105" s="163"/>
      <c r="T1105" s="163"/>
      <c r="U1105" s="178" t="s">
        <v>2150</v>
      </c>
      <c r="V1105" s="165"/>
      <c r="W1105" s="451">
        <v>80000000</v>
      </c>
      <c r="X1105" s="165"/>
      <c r="Y1105" s="165"/>
    </row>
    <row r="1106" spans="1:25">
      <c r="A1106" s="162"/>
      <c r="B1106" s="163"/>
      <c r="C1106" s="163"/>
      <c r="D1106" s="163"/>
      <c r="E1106" s="163"/>
      <c r="F1106" s="163"/>
      <c r="G1106" s="163"/>
      <c r="H1106" s="163"/>
      <c r="I1106" s="163"/>
      <c r="J1106" s="163"/>
      <c r="K1106" s="163"/>
      <c r="L1106" s="163"/>
      <c r="M1106" s="163"/>
      <c r="N1106" s="163"/>
      <c r="O1106" s="163"/>
      <c r="P1106" s="163"/>
      <c r="Q1106" s="163"/>
      <c r="R1106" s="163"/>
      <c r="S1106" s="163"/>
      <c r="T1106" s="163"/>
      <c r="U1106" s="178" t="s">
        <v>1937</v>
      </c>
      <c r="V1106" s="165"/>
      <c r="W1106" s="451">
        <v>25000000</v>
      </c>
      <c r="X1106" s="165"/>
      <c r="Y1106" s="165"/>
    </row>
    <row r="1107" spans="1:25" ht="25.5">
      <c r="A1107" s="162"/>
      <c r="B1107" s="163"/>
      <c r="C1107" s="163"/>
      <c r="D1107" s="163"/>
      <c r="E1107" s="163"/>
      <c r="F1107" s="163"/>
      <c r="G1107" s="163"/>
      <c r="H1107" s="163"/>
      <c r="I1107" s="163"/>
      <c r="J1107" s="163"/>
      <c r="K1107" s="163"/>
      <c r="L1107" s="163"/>
      <c r="M1107" s="163"/>
      <c r="N1107" s="163"/>
      <c r="O1107" s="163"/>
      <c r="P1107" s="163"/>
      <c r="Q1107" s="163"/>
      <c r="R1107" s="163"/>
      <c r="S1107" s="163"/>
      <c r="T1107" s="163"/>
      <c r="U1107" s="178" t="s">
        <v>2151</v>
      </c>
      <c r="V1107" s="165"/>
      <c r="W1107" s="451">
        <v>80000000</v>
      </c>
      <c r="X1107" s="165"/>
      <c r="Y1107" s="165"/>
    </row>
    <row r="1108" spans="1:25">
      <c r="A1108" s="162"/>
      <c r="B1108" s="163"/>
      <c r="C1108" s="163"/>
      <c r="D1108" s="163"/>
      <c r="E1108" s="163"/>
      <c r="F1108" s="163"/>
      <c r="G1108" s="163"/>
      <c r="H1108" s="163"/>
      <c r="I1108" s="163"/>
      <c r="J1108" s="163"/>
      <c r="K1108" s="163"/>
      <c r="L1108" s="163"/>
      <c r="M1108" s="163"/>
      <c r="N1108" s="163"/>
      <c r="O1108" s="163"/>
      <c r="P1108" s="163"/>
      <c r="Q1108" s="163"/>
      <c r="R1108" s="163"/>
      <c r="S1108" s="163"/>
      <c r="T1108" s="163"/>
      <c r="U1108" s="178" t="s">
        <v>1938</v>
      </c>
      <c r="V1108" s="165"/>
      <c r="W1108" s="451">
        <v>1000000</v>
      </c>
      <c r="X1108" s="165"/>
      <c r="Y1108" s="165"/>
    </row>
    <row r="1109" spans="1:25">
      <c r="A1109" s="162"/>
      <c r="B1109" s="163"/>
      <c r="C1109" s="163"/>
      <c r="D1109" s="163"/>
      <c r="E1109" s="163"/>
      <c r="F1109" s="163"/>
      <c r="G1109" s="163"/>
      <c r="H1109" s="163"/>
      <c r="I1109" s="163"/>
      <c r="J1109" s="163"/>
      <c r="K1109" s="163"/>
      <c r="L1109" s="163"/>
      <c r="M1109" s="163"/>
      <c r="N1109" s="163"/>
      <c r="O1109" s="163"/>
      <c r="P1109" s="163"/>
      <c r="Q1109" s="163"/>
      <c r="R1109" s="163"/>
      <c r="S1109" s="163"/>
      <c r="T1109" s="163"/>
      <c r="U1109" s="178" t="s">
        <v>1552</v>
      </c>
      <c r="V1109" s="165"/>
      <c r="W1109" s="451">
        <v>59020000</v>
      </c>
      <c r="X1109" s="165"/>
      <c r="Y1109" s="165"/>
    </row>
    <row r="1110" spans="1:25">
      <c r="A1110" s="162"/>
      <c r="B1110" s="207"/>
      <c r="C1110" s="207"/>
      <c r="D1110" s="207"/>
      <c r="E1110" s="207"/>
      <c r="F1110" s="207"/>
      <c r="G1110" s="207"/>
      <c r="H1110" s="207"/>
      <c r="I1110" s="207"/>
      <c r="J1110" s="207"/>
      <c r="K1110" s="207"/>
      <c r="L1110" s="207"/>
      <c r="M1110" s="207"/>
      <c r="N1110" s="207"/>
      <c r="O1110" s="207"/>
      <c r="P1110" s="207"/>
      <c r="Q1110" s="207"/>
      <c r="R1110" s="207"/>
      <c r="S1110" s="207"/>
      <c r="T1110" s="207"/>
      <c r="U1110" s="178" t="s">
        <v>1553</v>
      </c>
      <c r="V1110" s="165">
        <v>1000000</v>
      </c>
      <c r="W1110" s="451">
        <v>0</v>
      </c>
      <c r="X1110" s="165"/>
      <c r="Y1110" s="165"/>
    </row>
    <row r="1111" spans="1:25">
      <c r="A1111" s="162"/>
      <c r="B1111" s="207"/>
      <c r="C1111" s="207"/>
      <c r="D1111" s="207"/>
      <c r="E1111" s="207"/>
      <c r="F1111" s="207"/>
      <c r="G1111" s="207"/>
      <c r="H1111" s="207"/>
      <c r="I1111" s="207"/>
      <c r="J1111" s="207"/>
      <c r="K1111" s="207"/>
      <c r="L1111" s="207"/>
      <c r="M1111" s="207"/>
      <c r="N1111" s="207"/>
      <c r="O1111" s="207"/>
      <c r="P1111" s="207"/>
      <c r="Q1111" s="207"/>
      <c r="R1111" s="207"/>
      <c r="S1111" s="207"/>
      <c r="T1111" s="207"/>
      <c r="U1111" s="178" t="s">
        <v>1939</v>
      </c>
      <c r="V1111" s="165">
        <v>20000000</v>
      </c>
      <c r="W1111" s="451">
        <v>0</v>
      </c>
      <c r="X1111" s="165"/>
      <c r="Y1111" s="165"/>
    </row>
    <row r="1112" spans="1:25" ht="25.5">
      <c r="A1112" s="162"/>
      <c r="B1112" s="207"/>
      <c r="C1112" s="207"/>
      <c r="D1112" s="207"/>
      <c r="E1112" s="207"/>
      <c r="F1112" s="207"/>
      <c r="G1112" s="207"/>
      <c r="H1112" s="207"/>
      <c r="I1112" s="207"/>
      <c r="J1112" s="207"/>
      <c r="K1112" s="207"/>
      <c r="L1112" s="207"/>
      <c r="M1112" s="207"/>
      <c r="N1112" s="207"/>
      <c r="O1112" s="207"/>
      <c r="P1112" s="207"/>
      <c r="Q1112" s="207"/>
      <c r="R1112" s="207"/>
      <c r="S1112" s="207"/>
      <c r="T1112" s="207"/>
      <c r="U1112" s="178" t="s">
        <v>1554</v>
      </c>
      <c r="V1112" s="165">
        <v>16400000</v>
      </c>
      <c r="W1112" s="451">
        <v>0</v>
      </c>
      <c r="X1112" s="165"/>
      <c r="Y1112" s="165"/>
    </row>
    <row r="1113" spans="1:25">
      <c r="A1113" s="162"/>
      <c r="B1113" s="207"/>
      <c r="C1113" s="207"/>
      <c r="D1113" s="207"/>
      <c r="E1113" s="207"/>
      <c r="F1113" s="207"/>
      <c r="G1113" s="207"/>
      <c r="H1113" s="207"/>
      <c r="I1113" s="207"/>
      <c r="J1113" s="207"/>
      <c r="K1113" s="207"/>
      <c r="L1113" s="207"/>
      <c r="M1113" s="207"/>
      <c r="N1113" s="207"/>
      <c r="O1113" s="207"/>
      <c r="P1113" s="207"/>
      <c r="Q1113" s="207"/>
      <c r="R1113" s="207"/>
      <c r="S1113" s="207"/>
      <c r="T1113" s="207"/>
      <c r="U1113" s="178" t="s">
        <v>1940</v>
      </c>
      <c r="V1113" s="165">
        <v>8000000</v>
      </c>
      <c r="W1113" s="451">
        <v>0</v>
      </c>
      <c r="X1113" s="165"/>
      <c r="Y1113" s="165"/>
    </row>
    <row r="1114" spans="1:25">
      <c r="A1114" s="162"/>
      <c r="B1114" s="207"/>
      <c r="C1114" s="207"/>
      <c r="D1114" s="207"/>
      <c r="E1114" s="207"/>
      <c r="F1114" s="207"/>
      <c r="G1114" s="207"/>
      <c r="H1114" s="207"/>
      <c r="I1114" s="207"/>
      <c r="J1114" s="207"/>
      <c r="K1114" s="207"/>
      <c r="L1114" s="207"/>
      <c r="M1114" s="207"/>
      <c r="N1114" s="207"/>
      <c r="O1114" s="207"/>
      <c r="P1114" s="207"/>
      <c r="Q1114" s="207"/>
      <c r="R1114" s="207"/>
      <c r="S1114" s="207"/>
      <c r="T1114" s="207"/>
      <c r="U1114" s="178" t="s">
        <v>1555</v>
      </c>
      <c r="V1114" s="165">
        <v>3751200</v>
      </c>
      <c r="W1114" s="451">
        <v>0</v>
      </c>
      <c r="X1114" s="165"/>
      <c r="Y1114" s="165"/>
    </row>
    <row r="1115" spans="1:25">
      <c r="A1115" s="162"/>
      <c r="B1115" s="207"/>
      <c r="C1115" s="207"/>
      <c r="D1115" s="207"/>
      <c r="E1115" s="207"/>
      <c r="F1115" s="207"/>
      <c r="G1115" s="207"/>
      <c r="H1115" s="207"/>
      <c r="I1115" s="207"/>
      <c r="J1115" s="207"/>
      <c r="K1115" s="207"/>
      <c r="L1115" s="207"/>
      <c r="M1115" s="207"/>
      <c r="N1115" s="207"/>
      <c r="O1115" s="207"/>
      <c r="P1115" s="207"/>
      <c r="Q1115" s="207"/>
      <c r="R1115" s="207"/>
      <c r="S1115" s="207"/>
      <c r="T1115" s="207"/>
      <c r="U1115" s="178" t="s">
        <v>1556</v>
      </c>
      <c r="V1115" s="165">
        <v>10000000</v>
      </c>
      <c r="W1115" s="451">
        <v>0</v>
      </c>
      <c r="X1115" s="165"/>
      <c r="Y1115" s="165"/>
    </row>
    <row r="1116" spans="1:25">
      <c r="A1116" s="162"/>
      <c r="B1116" s="207"/>
      <c r="C1116" s="207"/>
      <c r="D1116" s="207"/>
      <c r="E1116" s="207"/>
      <c r="F1116" s="207"/>
      <c r="G1116" s="207"/>
      <c r="H1116" s="207"/>
      <c r="I1116" s="207"/>
      <c r="J1116" s="207"/>
      <c r="K1116" s="207"/>
      <c r="L1116" s="207"/>
      <c r="M1116" s="207"/>
      <c r="N1116" s="207"/>
      <c r="O1116" s="207"/>
      <c r="P1116" s="207"/>
      <c r="Q1116" s="207"/>
      <c r="R1116" s="207"/>
      <c r="S1116" s="207"/>
      <c r="T1116" s="207"/>
      <c r="U1116" s="379" t="s">
        <v>2480</v>
      </c>
      <c r="V1116" s="165"/>
      <c r="W1116" s="451">
        <v>0</v>
      </c>
      <c r="X1116" s="165"/>
      <c r="Y1116" s="165"/>
    </row>
    <row r="1117" spans="1:25" ht="25.5">
      <c r="A1117" s="162"/>
      <c r="B1117" s="207"/>
      <c r="C1117" s="207"/>
      <c r="D1117" s="207"/>
      <c r="E1117" s="207"/>
      <c r="F1117" s="207"/>
      <c r="G1117" s="207"/>
      <c r="H1117" s="207"/>
      <c r="I1117" s="207"/>
      <c r="J1117" s="207"/>
      <c r="K1117" s="207"/>
      <c r="L1117" s="207"/>
      <c r="M1117" s="207"/>
      <c r="N1117" s="207"/>
      <c r="O1117" s="207"/>
      <c r="P1117" s="207"/>
      <c r="Q1117" s="207"/>
      <c r="R1117" s="207"/>
      <c r="S1117" s="207"/>
      <c r="T1117" s="207"/>
      <c r="U1117" s="380" t="s">
        <v>2481</v>
      </c>
      <c r="V1117" s="165"/>
      <c r="W1117" s="451">
        <v>0</v>
      </c>
      <c r="X1117" s="366">
        <v>100000000</v>
      </c>
      <c r="Y1117" s="366">
        <v>50000000</v>
      </c>
    </row>
    <row r="1118" spans="1:25" ht="25.5">
      <c r="A1118" s="162"/>
      <c r="B1118" s="207"/>
      <c r="C1118" s="207"/>
      <c r="D1118" s="207"/>
      <c r="E1118" s="207"/>
      <c r="F1118" s="207"/>
      <c r="G1118" s="207"/>
      <c r="H1118" s="207"/>
      <c r="I1118" s="207"/>
      <c r="J1118" s="207"/>
      <c r="K1118" s="207"/>
      <c r="L1118" s="207"/>
      <c r="M1118" s="207"/>
      <c r="N1118" s="207"/>
      <c r="O1118" s="207"/>
      <c r="P1118" s="207"/>
      <c r="Q1118" s="207"/>
      <c r="R1118" s="207"/>
      <c r="S1118" s="207"/>
      <c r="T1118" s="207"/>
      <c r="U1118" s="381" t="s">
        <v>2482</v>
      </c>
      <c r="V1118" s="165"/>
      <c r="W1118" s="451">
        <v>0</v>
      </c>
      <c r="X1118" s="366">
        <v>30000000</v>
      </c>
      <c r="Y1118" s="366"/>
    </row>
    <row r="1119" spans="1:25">
      <c r="A1119" s="162"/>
      <c r="B1119" s="207"/>
      <c r="C1119" s="207"/>
      <c r="D1119" s="207"/>
      <c r="E1119" s="207"/>
      <c r="F1119" s="207"/>
      <c r="G1119" s="207"/>
      <c r="H1119" s="207"/>
      <c r="I1119" s="207"/>
      <c r="J1119" s="207"/>
      <c r="K1119" s="207"/>
      <c r="L1119" s="207"/>
      <c r="M1119" s="207"/>
      <c r="N1119" s="207"/>
      <c r="O1119" s="207"/>
      <c r="P1119" s="207"/>
      <c r="Q1119" s="207"/>
      <c r="R1119" s="207"/>
      <c r="S1119" s="207"/>
      <c r="T1119" s="207"/>
      <c r="U1119" s="379" t="s">
        <v>2483</v>
      </c>
      <c r="V1119" s="165"/>
      <c r="W1119" s="451">
        <v>0</v>
      </c>
      <c r="X1119" s="366">
        <v>50000000</v>
      </c>
      <c r="Y1119" s="366"/>
    </row>
    <row r="1120" spans="1:25" ht="25.5">
      <c r="A1120" s="162"/>
      <c r="B1120" s="207"/>
      <c r="C1120" s="207"/>
      <c r="D1120" s="207"/>
      <c r="E1120" s="207"/>
      <c r="F1120" s="207"/>
      <c r="G1120" s="207"/>
      <c r="H1120" s="207"/>
      <c r="I1120" s="207"/>
      <c r="J1120" s="207"/>
      <c r="K1120" s="207"/>
      <c r="L1120" s="207"/>
      <c r="M1120" s="207"/>
      <c r="N1120" s="207"/>
      <c r="O1120" s="207"/>
      <c r="P1120" s="207"/>
      <c r="Q1120" s="207"/>
      <c r="R1120" s="207"/>
      <c r="S1120" s="207"/>
      <c r="T1120" s="207"/>
      <c r="U1120" s="382" t="s">
        <v>2484</v>
      </c>
      <c r="V1120" s="165"/>
      <c r="W1120" s="451">
        <v>0</v>
      </c>
      <c r="X1120" s="366">
        <v>100000000</v>
      </c>
      <c r="Y1120" s="366">
        <v>50000000</v>
      </c>
    </row>
    <row r="1121" spans="1:25">
      <c r="A1121" s="162"/>
      <c r="B1121" s="207"/>
      <c r="C1121" s="207"/>
      <c r="D1121" s="207"/>
      <c r="E1121" s="207"/>
      <c r="F1121" s="207"/>
      <c r="G1121" s="207"/>
      <c r="H1121" s="207"/>
      <c r="I1121" s="207"/>
      <c r="J1121" s="207"/>
      <c r="K1121" s="207"/>
      <c r="L1121" s="207"/>
      <c r="M1121" s="207"/>
      <c r="N1121" s="207"/>
      <c r="O1121" s="207"/>
      <c r="P1121" s="207"/>
      <c r="Q1121" s="207"/>
      <c r="R1121" s="207"/>
      <c r="S1121" s="207"/>
      <c r="T1121" s="207"/>
      <c r="U1121" s="379" t="s">
        <v>2485</v>
      </c>
      <c r="V1121" s="165"/>
      <c r="W1121" s="451">
        <v>0</v>
      </c>
      <c r="X1121" s="366">
        <v>50000000</v>
      </c>
      <c r="Y1121" s="366">
        <v>100000000</v>
      </c>
    </row>
    <row r="1122" spans="1:25" ht="38.25">
      <c r="A1122" s="162"/>
      <c r="B1122" s="207"/>
      <c r="C1122" s="207"/>
      <c r="D1122" s="207"/>
      <c r="E1122" s="207"/>
      <c r="F1122" s="207"/>
      <c r="G1122" s="207"/>
      <c r="H1122" s="207"/>
      <c r="I1122" s="207"/>
      <c r="J1122" s="207"/>
      <c r="K1122" s="207"/>
      <c r="L1122" s="207"/>
      <c r="M1122" s="207"/>
      <c r="N1122" s="207"/>
      <c r="O1122" s="207"/>
      <c r="P1122" s="207"/>
      <c r="Q1122" s="207"/>
      <c r="R1122" s="207"/>
      <c r="S1122" s="207"/>
      <c r="T1122" s="207"/>
      <c r="U1122" s="381" t="s">
        <v>2486</v>
      </c>
      <c r="V1122" s="165"/>
      <c r="W1122" s="451">
        <v>0</v>
      </c>
      <c r="X1122" s="366">
        <v>100000000</v>
      </c>
      <c r="Y1122" s="366">
        <v>50000000</v>
      </c>
    </row>
    <row r="1123" spans="1:25">
      <c r="A1123" s="162"/>
      <c r="B1123" s="207"/>
      <c r="C1123" s="207"/>
      <c r="D1123" s="207"/>
      <c r="E1123" s="207"/>
      <c r="F1123" s="207"/>
      <c r="G1123" s="207"/>
      <c r="H1123" s="207"/>
      <c r="I1123" s="207"/>
      <c r="J1123" s="207"/>
      <c r="K1123" s="207"/>
      <c r="L1123" s="207"/>
      <c r="M1123" s="207"/>
      <c r="N1123" s="207"/>
      <c r="O1123" s="207"/>
      <c r="P1123" s="207"/>
      <c r="Q1123" s="207"/>
      <c r="R1123" s="207"/>
      <c r="S1123" s="207"/>
      <c r="T1123" s="207"/>
      <c r="U1123" s="285" t="s">
        <v>1552</v>
      </c>
      <c r="V1123" s="165"/>
      <c r="W1123" s="451">
        <v>0</v>
      </c>
      <c r="X1123" s="366">
        <v>20000000</v>
      </c>
      <c r="Y1123" s="366">
        <v>5000000</v>
      </c>
    </row>
    <row r="1124" spans="1:25">
      <c r="A1124" s="162"/>
      <c r="B1124" s="207"/>
      <c r="C1124" s="207"/>
      <c r="D1124" s="207"/>
      <c r="E1124" s="207"/>
      <c r="F1124" s="207"/>
      <c r="G1124" s="207"/>
      <c r="H1124" s="207"/>
      <c r="I1124" s="207"/>
      <c r="J1124" s="207"/>
      <c r="K1124" s="207"/>
      <c r="L1124" s="207"/>
      <c r="M1124" s="207"/>
      <c r="N1124" s="207"/>
      <c r="O1124" s="207"/>
      <c r="P1124" s="207"/>
      <c r="Q1124" s="207"/>
      <c r="R1124" s="207"/>
      <c r="S1124" s="207"/>
      <c r="T1124" s="207"/>
      <c r="U1124" s="285"/>
      <c r="V1124" s="165"/>
      <c r="W1124" s="451">
        <v>0</v>
      </c>
      <c r="X1124" s="366"/>
      <c r="Y1124" s="366"/>
    </row>
    <row r="1125" spans="1:25" s="184" customFormat="1">
      <c r="A1125" s="181"/>
      <c r="B1125" s="182"/>
      <c r="C1125" s="182"/>
      <c r="D1125" s="182"/>
      <c r="E1125" s="182"/>
      <c r="F1125" s="182"/>
      <c r="G1125" s="182"/>
      <c r="H1125" s="182"/>
      <c r="I1125" s="182"/>
      <c r="J1125" s="182"/>
      <c r="K1125" s="182"/>
      <c r="L1125" s="182"/>
      <c r="M1125" s="182"/>
      <c r="N1125" s="182"/>
      <c r="O1125" s="182"/>
      <c r="P1125" s="182"/>
      <c r="Q1125" s="182"/>
      <c r="R1125" s="182"/>
      <c r="S1125" s="182"/>
      <c r="T1125" s="182"/>
      <c r="U1125" s="183"/>
      <c r="V1125" s="168">
        <f>SUM(V1102:V1123)</f>
        <v>59151200</v>
      </c>
      <c r="W1125" s="334">
        <f t="shared" ref="W1125" si="131">SUM(W1102:W1124)</f>
        <v>440040000</v>
      </c>
      <c r="X1125" s="168">
        <f>SUM(X1102:X1123)</f>
        <v>450000000</v>
      </c>
      <c r="Y1125" s="168">
        <f>SUM(Y1102:Y1123)</f>
        <v>255000000</v>
      </c>
    </row>
    <row r="1131" spans="1:25" ht="26.25">
      <c r="A1131" s="175" t="s">
        <v>1557</v>
      </c>
      <c r="B1131" s="176"/>
      <c r="C1131" s="176"/>
      <c r="D1131" s="176"/>
      <c r="E1131" s="176"/>
      <c r="F1131" s="176"/>
      <c r="G1131" s="176"/>
      <c r="H1131" s="176"/>
      <c r="I1131" s="176"/>
      <c r="J1131" s="176"/>
      <c r="K1131" s="176"/>
      <c r="L1131" s="176"/>
      <c r="M1131" s="176"/>
      <c r="N1131" s="176"/>
      <c r="O1131" s="176"/>
      <c r="P1131" s="176"/>
      <c r="Q1131" s="176"/>
      <c r="R1131" s="176"/>
      <c r="S1131" s="176"/>
      <c r="T1131" s="176"/>
      <c r="U1131" s="176"/>
      <c r="V1131" s="176"/>
      <c r="W1131" s="345"/>
      <c r="X1131" s="176"/>
      <c r="Y1131" s="176"/>
    </row>
    <row r="1132" spans="1:25" ht="25.5">
      <c r="A1132" s="162"/>
      <c r="B1132" s="163"/>
      <c r="C1132" s="163"/>
      <c r="D1132" s="163"/>
      <c r="E1132" s="163"/>
      <c r="F1132" s="163"/>
      <c r="G1132" s="163"/>
      <c r="H1132" s="163"/>
      <c r="I1132" s="163"/>
      <c r="J1132" s="163"/>
      <c r="K1132" s="163"/>
      <c r="L1132" s="163"/>
      <c r="M1132" s="163"/>
      <c r="N1132" s="163"/>
      <c r="O1132" s="163"/>
      <c r="P1132" s="163"/>
      <c r="Q1132" s="163"/>
      <c r="R1132" s="163"/>
      <c r="S1132" s="163"/>
      <c r="T1132" s="163"/>
      <c r="U1132" s="178" t="s">
        <v>2487</v>
      </c>
      <c r="V1132" s="165">
        <v>15000000</v>
      </c>
      <c r="W1132" s="451">
        <v>50000000</v>
      </c>
      <c r="X1132" s="165"/>
      <c r="Y1132" s="165"/>
    </row>
    <row r="1133" spans="1:25" ht="25.5">
      <c r="A1133" s="162"/>
      <c r="B1133" s="163"/>
      <c r="C1133" s="163"/>
      <c r="D1133" s="163"/>
      <c r="E1133" s="163"/>
      <c r="F1133" s="163"/>
      <c r="G1133" s="163"/>
      <c r="H1133" s="163"/>
      <c r="I1133" s="163"/>
      <c r="J1133" s="163"/>
      <c r="K1133" s="163"/>
      <c r="L1133" s="163"/>
      <c r="M1133" s="163"/>
      <c r="N1133" s="163"/>
      <c r="O1133" s="163"/>
      <c r="P1133" s="163"/>
      <c r="Q1133" s="163"/>
      <c r="R1133" s="163"/>
      <c r="S1133" s="163"/>
      <c r="T1133" s="163"/>
      <c r="U1133" s="178" t="s">
        <v>1941</v>
      </c>
      <c r="V1133" s="165">
        <v>50000000</v>
      </c>
      <c r="W1133" s="451">
        <v>300000000</v>
      </c>
      <c r="X1133" s="165"/>
      <c r="Y1133" s="165"/>
    </row>
    <row r="1134" spans="1:25">
      <c r="A1134" s="162"/>
      <c r="B1134" s="207"/>
      <c r="C1134" s="207"/>
      <c r="D1134" s="207"/>
      <c r="E1134" s="207"/>
      <c r="F1134" s="207"/>
      <c r="G1134" s="207"/>
      <c r="H1134" s="207"/>
      <c r="I1134" s="207"/>
      <c r="J1134" s="207"/>
      <c r="K1134" s="207"/>
      <c r="L1134" s="207"/>
      <c r="M1134" s="207"/>
      <c r="N1134" s="207"/>
      <c r="O1134" s="207"/>
      <c r="P1134" s="207"/>
      <c r="Q1134" s="207"/>
      <c r="R1134" s="207"/>
      <c r="S1134" s="207"/>
      <c r="T1134" s="207"/>
      <c r="U1134" s="178" t="s">
        <v>1558</v>
      </c>
      <c r="V1134" s="165">
        <v>130000000</v>
      </c>
      <c r="W1134" s="451">
        <v>100000000</v>
      </c>
      <c r="X1134" s="165"/>
      <c r="Y1134" s="165"/>
    </row>
    <row r="1135" spans="1:25" ht="25.5">
      <c r="A1135" s="162"/>
      <c r="B1135" s="207"/>
      <c r="C1135" s="207"/>
      <c r="D1135" s="207"/>
      <c r="E1135" s="207"/>
      <c r="F1135" s="207"/>
      <c r="G1135" s="207"/>
      <c r="H1135" s="207"/>
      <c r="I1135" s="207"/>
      <c r="J1135" s="207"/>
      <c r="K1135" s="207"/>
      <c r="L1135" s="207"/>
      <c r="M1135" s="207"/>
      <c r="N1135" s="207"/>
      <c r="O1135" s="207"/>
      <c r="P1135" s="207"/>
      <c r="Q1135" s="207"/>
      <c r="R1135" s="207"/>
      <c r="S1135" s="207"/>
      <c r="T1135" s="207"/>
      <c r="U1135" s="381" t="s">
        <v>2488</v>
      </c>
      <c r="V1135" s="165"/>
      <c r="W1135" s="451">
        <v>9000000</v>
      </c>
      <c r="X1135" s="366">
        <v>30000000</v>
      </c>
      <c r="Y1135" s="366"/>
    </row>
    <row r="1136" spans="1:25" ht="25.5">
      <c r="A1136" s="162"/>
      <c r="B1136" s="207"/>
      <c r="C1136" s="207"/>
      <c r="D1136" s="207"/>
      <c r="E1136" s="207"/>
      <c r="F1136" s="207"/>
      <c r="G1136" s="207"/>
      <c r="H1136" s="207"/>
      <c r="I1136" s="207"/>
      <c r="J1136" s="207"/>
      <c r="K1136" s="207"/>
      <c r="L1136" s="207"/>
      <c r="M1136" s="207"/>
      <c r="N1136" s="207"/>
      <c r="O1136" s="207"/>
      <c r="P1136" s="207"/>
      <c r="Q1136" s="207"/>
      <c r="R1136" s="207"/>
      <c r="S1136" s="207"/>
      <c r="T1136" s="207"/>
      <c r="U1136" s="381" t="s">
        <v>2489</v>
      </c>
      <c r="V1136" s="165"/>
      <c r="W1136" s="451">
        <v>0</v>
      </c>
      <c r="X1136" s="366">
        <v>200000000</v>
      </c>
      <c r="Y1136" s="366">
        <v>150000000</v>
      </c>
    </row>
    <row r="1137" spans="1:25" ht="25.5">
      <c r="A1137" s="162"/>
      <c r="B1137" s="207"/>
      <c r="C1137" s="207"/>
      <c r="D1137" s="207"/>
      <c r="E1137" s="207"/>
      <c r="F1137" s="207"/>
      <c r="G1137" s="207"/>
      <c r="H1137" s="207"/>
      <c r="I1137" s="207"/>
      <c r="J1137" s="207"/>
      <c r="K1137" s="207"/>
      <c r="L1137" s="207"/>
      <c r="M1137" s="207"/>
      <c r="N1137" s="207"/>
      <c r="O1137" s="207"/>
      <c r="P1137" s="207"/>
      <c r="Q1137" s="207"/>
      <c r="R1137" s="207"/>
      <c r="S1137" s="207"/>
      <c r="T1137" s="207"/>
      <c r="U1137" s="381" t="s">
        <v>2490</v>
      </c>
      <c r="V1137" s="165"/>
      <c r="W1137" s="451">
        <v>0</v>
      </c>
      <c r="X1137" s="366">
        <v>100000000</v>
      </c>
      <c r="Y1137" s="366">
        <v>200000000</v>
      </c>
    </row>
    <row r="1138" spans="1:25">
      <c r="A1138" s="162"/>
      <c r="B1138" s="207"/>
      <c r="C1138" s="207"/>
      <c r="D1138" s="207"/>
      <c r="E1138" s="207"/>
      <c r="F1138" s="207"/>
      <c r="G1138" s="207"/>
      <c r="H1138" s="207"/>
      <c r="I1138" s="207"/>
      <c r="J1138" s="207"/>
      <c r="K1138" s="207"/>
      <c r="L1138" s="207"/>
      <c r="M1138" s="207"/>
      <c r="N1138" s="207"/>
      <c r="O1138" s="207"/>
      <c r="P1138" s="207"/>
      <c r="Q1138" s="207"/>
      <c r="R1138" s="207"/>
      <c r="S1138" s="207"/>
      <c r="T1138" s="207"/>
      <c r="U1138" s="285" t="s">
        <v>2162</v>
      </c>
      <c r="V1138" s="165"/>
      <c r="W1138" s="451">
        <v>800000000</v>
      </c>
      <c r="X1138" s="366"/>
      <c r="Y1138" s="366"/>
    </row>
    <row r="1139" spans="1:25" s="184" customFormat="1">
      <c r="A1139" s="181"/>
      <c r="B1139" s="182"/>
      <c r="C1139" s="182"/>
      <c r="D1139" s="182"/>
      <c r="E1139" s="182"/>
      <c r="F1139" s="182"/>
      <c r="G1139" s="182"/>
      <c r="H1139" s="182"/>
      <c r="I1139" s="182"/>
      <c r="J1139" s="182"/>
      <c r="K1139" s="182"/>
      <c r="L1139" s="182"/>
      <c r="M1139" s="182"/>
      <c r="N1139" s="182"/>
      <c r="O1139" s="182"/>
      <c r="P1139" s="182"/>
      <c r="Q1139" s="182"/>
      <c r="R1139" s="182"/>
      <c r="S1139" s="182"/>
      <c r="T1139" s="182"/>
      <c r="U1139" s="183"/>
      <c r="V1139" s="168">
        <f>SUM(V1132:V1137)</f>
        <v>195000000</v>
      </c>
      <c r="W1139" s="334">
        <f t="shared" ref="W1139" si="132">SUM(W1132:W1138)</f>
        <v>1259000000</v>
      </c>
      <c r="X1139" s="168">
        <f>SUM(X1132:X1137)</f>
        <v>330000000</v>
      </c>
      <c r="Y1139" s="168">
        <f>SUM(Y1132:Y1137)</f>
        <v>350000000</v>
      </c>
    </row>
    <row r="1145" spans="1:25" ht="26.25">
      <c r="A1145" s="175" t="s">
        <v>117</v>
      </c>
      <c r="B1145" s="176"/>
      <c r="C1145" s="176"/>
      <c r="D1145" s="176"/>
      <c r="E1145" s="176"/>
      <c r="F1145" s="176"/>
      <c r="G1145" s="176"/>
      <c r="H1145" s="176"/>
      <c r="I1145" s="176"/>
      <c r="J1145" s="176"/>
      <c r="K1145" s="176"/>
      <c r="L1145" s="176"/>
      <c r="M1145" s="176"/>
      <c r="N1145" s="176"/>
      <c r="O1145" s="176"/>
      <c r="P1145" s="176"/>
      <c r="Q1145" s="176"/>
      <c r="R1145" s="176"/>
      <c r="S1145" s="176"/>
      <c r="T1145" s="176"/>
      <c r="U1145" s="176"/>
      <c r="V1145" s="176"/>
      <c r="W1145" s="345"/>
      <c r="X1145" s="176"/>
      <c r="Y1145" s="176"/>
    </row>
    <row r="1146" spans="1:25">
      <c r="A1146" s="162"/>
      <c r="B1146" s="163"/>
      <c r="C1146" s="163"/>
      <c r="D1146" s="163"/>
      <c r="E1146" s="163"/>
      <c r="F1146" s="163"/>
      <c r="G1146" s="163"/>
      <c r="H1146" s="163"/>
      <c r="I1146" s="163"/>
      <c r="J1146" s="163"/>
      <c r="K1146" s="163"/>
      <c r="L1146" s="163"/>
      <c r="M1146" s="163"/>
      <c r="N1146" s="163"/>
      <c r="O1146" s="163"/>
      <c r="P1146" s="163"/>
      <c r="Q1146" s="163"/>
      <c r="R1146" s="163"/>
      <c r="S1146" s="163"/>
      <c r="T1146" s="163"/>
      <c r="U1146" s="178" t="s">
        <v>1559</v>
      </c>
      <c r="V1146" s="165">
        <v>1200000000</v>
      </c>
      <c r="W1146" s="451">
        <v>1370057500</v>
      </c>
      <c r="X1146" s="383">
        <v>1450000000</v>
      </c>
      <c r="Y1146" s="366">
        <v>1500000000</v>
      </c>
    </row>
    <row r="1147" spans="1:25">
      <c r="A1147" s="162"/>
      <c r="B1147" s="163"/>
      <c r="C1147" s="163"/>
      <c r="D1147" s="163"/>
      <c r="E1147" s="163"/>
      <c r="F1147" s="163"/>
      <c r="G1147" s="163"/>
      <c r="H1147" s="163"/>
      <c r="I1147" s="163"/>
      <c r="J1147" s="163"/>
      <c r="K1147" s="163"/>
      <c r="L1147" s="163"/>
      <c r="M1147" s="163"/>
      <c r="N1147" s="163"/>
      <c r="O1147" s="163"/>
      <c r="P1147" s="163"/>
      <c r="Q1147" s="163"/>
      <c r="R1147" s="163"/>
      <c r="S1147" s="163"/>
      <c r="T1147" s="163"/>
      <c r="U1147" s="178" t="s">
        <v>2508</v>
      </c>
      <c r="V1147" s="165">
        <v>254000000</v>
      </c>
      <c r="W1147" s="451">
        <v>240211500</v>
      </c>
      <c r="X1147" s="165"/>
      <c r="Y1147" s="165"/>
    </row>
    <row r="1148" spans="1:25">
      <c r="A1148" s="162"/>
      <c r="B1148" s="163"/>
      <c r="C1148" s="163"/>
      <c r="D1148" s="163"/>
      <c r="E1148" s="163"/>
      <c r="F1148" s="163"/>
      <c r="G1148" s="163"/>
      <c r="H1148" s="163"/>
      <c r="I1148" s="163"/>
      <c r="J1148" s="163"/>
      <c r="K1148" s="163"/>
      <c r="L1148" s="163"/>
      <c r="M1148" s="163"/>
      <c r="N1148" s="163"/>
      <c r="O1148" s="163"/>
      <c r="P1148" s="163"/>
      <c r="Q1148" s="163"/>
      <c r="R1148" s="163"/>
      <c r="S1148" s="163"/>
      <c r="T1148" s="163"/>
      <c r="U1148" s="178" t="s">
        <v>2152</v>
      </c>
      <c r="V1148" s="165">
        <v>20000000</v>
      </c>
      <c r="W1148" s="451">
        <v>20220000</v>
      </c>
      <c r="X1148" s="165"/>
      <c r="Y1148" s="165"/>
    </row>
    <row r="1149" spans="1:25" ht="25.5">
      <c r="A1149" s="162"/>
      <c r="B1149" s="163"/>
      <c r="C1149" s="163"/>
      <c r="D1149" s="163"/>
      <c r="E1149" s="163"/>
      <c r="F1149" s="163"/>
      <c r="G1149" s="163"/>
      <c r="H1149" s="163"/>
      <c r="I1149" s="163"/>
      <c r="J1149" s="163"/>
      <c r="K1149" s="163"/>
      <c r="L1149" s="163"/>
      <c r="M1149" s="163"/>
      <c r="N1149" s="163"/>
      <c r="O1149" s="163"/>
      <c r="P1149" s="163"/>
      <c r="Q1149" s="163"/>
      <c r="R1149" s="163"/>
      <c r="S1149" s="163"/>
      <c r="T1149" s="163"/>
      <c r="U1149" s="178" t="s">
        <v>1942</v>
      </c>
      <c r="V1149" s="165">
        <v>100000000</v>
      </c>
      <c r="W1149" s="451">
        <v>100107500</v>
      </c>
      <c r="X1149" s="165"/>
      <c r="Y1149" s="165"/>
    </row>
    <row r="1150" spans="1:25">
      <c r="A1150" s="162"/>
      <c r="B1150" s="163"/>
      <c r="C1150" s="163"/>
      <c r="D1150" s="163"/>
      <c r="E1150" s="163"/>
      <c r="F1150" s="163"/>
      <c r="G1150" s="163"/>
      <c r="H1150" s="163"/>
      <c r="I1150" s="163"/>
      <c r="J1150" s="163"/>
      <c r="K1150" s="163"/>
      <c r="L1150" s="163"/>
      <c r="M1150" s="163"/>
      <c r="N1150" s="163"/>
      <c r="O1150" s="163"/>
      <c r="P1150" s="163"/>
      <c r="Q1150" s="163"/>
      <c r="R1150" s="163"/>
      <c r="S1150" s="163"/>
      <c r="T1150" s="163"/>
      <c r="U1150" s="178" t="s">
        <v>1943</v>
      </c>
      <c r="V1150" s="165">
        <v>2137500</v>
      </c>
      <c r="W1150" s="451">
        <v>4198500</v>
      </c>
      <c r="X1150" s="165"/>
      <c r="Y1150" s="165"/>
    </row>
    <row r="1151" spans="1:25">
      <c r="A1151" s="162"/>
      <c r="B1151" s="163"/>
      <c r="C1151" s="163"/>
      <c r="D1151" s="163"/>
      <c r="E1151" s="163"/>
      <c r="F1151" s="163"/>
      <c r="G1151" s="163"/>
      <c r="H1151" s="163"/>
      <c r="I1151" s="163"/>
      <c r="J1151" s="163"/>
      <c r="K1151" s="163"/>
      <c r="L1151" s="163"/>
      <c r="M1151" s="163"/>
      <c r="N1151" s="163"/>
      <c r="O1151" s="163"/>
      <c r="P1151" s="163"/>
      <c r="Q1151" s="163"/>
      <c r="R1151" s="163"/>
      <c r="S1151" s="163"/>
      <c r="T1151" s="163"/>
      <c r="U1151" s="178" t="s">
        <v>1944</v>
      </c>
      <c r="V1151" s="165">
        <v>2260000</v>
      </c>
      <c r="W1151" s="451">
        <v>5315000</v>
      </c>
      <c r="X1151" s="165"/>
      <c r="Y1151" s="165"/>
    </row>
    <row r="1152" spans="1:25">
      <c r="A1152" s="162"/>
      <c r="B1152" s="163"/>
      <c r="C1152" s="163"/>
      <c r="D1152" s="163"/>
      <c r="E1152" s="163"/>
      <c r="F1152" s="163"/>
      <c r="G1152" s="163"/>
      <c r="H1152" s="163"/>
      <c r="I1152" s="163"/>
      <c r="J1152" s="163"/>
      <c r="K1152" s="163"/>
      <c r="L1152" s="163"/>
      <c r="M1152" s="163"/>
      <c r="N1152" s="163"/>
      <c r="O1152" s="163"/>
      <c r="P1152" s="163"/>
      <c r="Q1152" s="163"/>
      <c r="R1152" s="163"/>
      <c r="S1152" s="163"/>
      <c r="T1152" s="163"/>
      <c r="U1152" s="178" t="s">
        <v>1561</v>
      </c>
      <c r="V1152" s="165"/>
      <c r="W1152" s="451">
        <v>33103500</v>
      </c>
      <c r="X1152" s="165"/>
      <c r="Y1152" s="165"/>
    </row>
    <row r="1153" spans="1:25" ht="25.5">
      <c r="A1153" s="162"/>
      <c r="B1153" s="163"/>
      <c r="C1153" s="163"/>
      <c r="D1153" s="163"/>
      <c r="E1153" s="163"/>
      <c r="F1153" s="163"/>
      <c r="G1153" s="163"/>
      <c r="H1153" s="163"/>
      <c r="I1153" s="163"/>
      <c r="J1153" s="163"/>
      <c r="K1153" s="163"/>
      <c r="L1153" s="163"/>
      <c r="M1153" s="163"/>
      <c r="N1153" s="163"/>
      <c r="O1153" s="163"/>
      <c r="P1153" s="163"/>
      <c r="Q1153" s="163"/>
      <c r="R1153" s="163"/>
      <c r="S1153" s="163"/>
      <c r="T1153" s="163"/>
      <c r="U1153" s="178" t="s">
        <v>2628</v>
      </c>
      <c r="V1153" s="165"/>
      <c r="W1153" s="451">
        <v>40000000</v>
      </c>
      <c r="X1153" s="165"/>
      <c r="Y1153" s="165"/>
    </row>
    <row r="1154" spans="1:25" ht="25.5">
      <c r="A1154" s="162"/>
      <c r="B1154" s="163"/>
      <c r="C1154" s="163"/>
      <c r="D1154" s="163"/>
      <c r="E1154" s="163"/>
      <c r="F1154" s="163"/>
      <c r="G1154" s="163"/>
      <c r="H1154" s="163"/>
      <c r="I1154" s="163"/>
      <c r="J1154" s="163"/>
      <c r="K1154" s="163"/>
      <c r="L1154" s="163"/>
      <c r="M1154" s="163"/>
      <c r="N1154" s="163"/>
      <c r="O1154" s="163"/>
      <c r="P1154" s="163"/>
      <c r="Q1154" s="163"/>
      <c r="R1154" s="163"/>
      <c r="S1154" s="163"/>
      <c r="T1154" s="163"/>
      <c r="U1154" s="178" t="s">
        <v>2509</v>
      </c>
      <c r="V1154" s="165"/>
      <c r="W1154" s="451">
        <v>36000000</v>
      </c>
      <c r="X1154" s="165"/>
      <c r="Y1154" s="165"/>
    </row>
    <row r="1155" spans="1:25">
      <c r="A1155" s="162"/>
      <c r="B1155" s="163"/>
      <c r="C1155" s="163"/>
      <c r="D1155" s="163"/>
      <c r="E1155" s="163"/>
      <c r="F1155" s="163"/>
      <c r="G1155" s="163"/>
      <c r="H1155" s="163"/>
      <c r="I1155" s="163"/>
      <c r="J1155" s="163"/>
      <c r="K1155" s="163"/>
      <c r="L1155" s="163"/>
      <c r="M1155" s="163"/>
      <c r="N1155" s="163"/>
      <c r="O1155" s="163"/>
      <c r="P1155" s="163"/>
      <c r="Q1155" s="163"/>
      <c r="R1155" s="163"/>
      <c r="S1155" s="163"/>
      <c r="T1155" s="163"/>
      <c r="U1155" s="178" t="s">
        <v>2510</v>
      </c>
      <c r="V1155" s="165"/>
      <c r="W1155" s="451">
        <v>150220000</v>
      </c>
      <c r="X1155" s="165"/>
      <c r="Y1155" s="165"/>
    </row>
    <row r="1156" spans="1:25" ht="25.5">
      <c r="A1156" s="162"/>
      <c r="B1156" s="163"/>
      <c r="C1156" s="163"/>
      <c r="D1156" s="163"/>
      <c r="E1156" s="163"/>
      <c r="F1156" s="163"/>
      <c r="G1156" s="163"/>
      <c r="H1156" s="163"/>
      <c r="I1156" s="163"/>
      <c r="J1156" s="163"/>
      <c r="K1156" s="163"/>
      <c r="L1156" s="163"/>
      <c r="M1156" s="163"/>
      <c r="N1156" s="163"/>
      <c r="O1156" s="163"/>
      <c r="P1156" s="163"/>
      <c r="Q1156" s="163"/>
      <c r="R1156" s="163"/>
      <c r="S1156" s="163"/>
      <c r="T1156" s="163"/>
      <c r="U1156" s="178" t="s">
        <v>2089</v>
      </c>
      <c r="V1156" s="165"/>
      <c r="W1156" s="451">
        <v>1500000000</v>
      </c>
      <c r="X1156" s="165"/>
      <c r="Y1156" s="165"/>
    </row>
    <row r="1157" spans="1:25">
      <c r="A1157" s="162"/>
      <c r="B1157" s="163"/>
      <c r="C1157" s="163"/>
      <c r="D1157" s="163"/>
      <c r="E1157" s="163"/>
      <c r="F1157" s="163"/>
      <c r="G1157" s="163"/>
      <c r="H1157" s="163"/>
      <c r="I1157" s="163"/>
      <c r="J1157" s="163"/>
      <c r="K1157" s="163"/>
      <c r="L1157" s="163"/>
      <c r="M1157" s="163"/>
      <c r="N1157" s="163"/>
      <c r="O1157" s="163"/>
      <c r="P1157" s="163"/>
      <c r="Q1157" s="163"/>
      <c r="R1157" s="163"/>
      <c r="S1157" s="163"/>
      <c r="T1157" s="163"/>
      <c r="U1157" s="178" t="s">
        <v>2505</v>
      </c>
      <c r="V1157" s="165"/>
      <c r="W1157" s="451">
        <v>0</v>
      </c>
      <c r="X1157" s="282">
        <v>100107500</v>
      </c>
      <c r="Y1157" s="165"/>
    </row>
    <row r="1158" spans="1:25" ht="25.5">
      <c r="A1158" s="162"/>
      <c r="B1158" s="163"/>
      <c r="C1158" s="163"/>
      <c r="D1158" s="163"/>
      <c r="E1158" s="163"/>
      <c r="F1158" s="163"/>
      <c r="G1158" s="163"/>
      <c r="H1158" s="163"/>
      <c r="I1158" s="163"/>
      <c r="J1158" s="163"/>
      <c r="K1158" s="163"/>
      <c r="L1158" s="163"/>
      <c r="M1158" s="163"/>
      <c r="N1158" s="163"/>
      <c r="O1158" s="163"/>
      <c r="P1158" s="163"/>
      <c r="Q1158" s="163"/>
      <c r="R1158" s="163"/>
      <c r="S1158" s="163"/>
      <c r="T1158" s="163"/>
      <c r="U1158" s="178" t="s">
        <v>2506</v>
      </c>
      <c r="V1158" s="165"/>
      <c r="W1158" s="451">
        <v>0</v>
      </c>
      <c r="X1158" s="165"/>
      <c r="Y1158" s="165"/>
    </row>
    <row r="1159" spans="1:25">
      <c r="A1159" s="162"/>
      <c r="B1159" s="163"/>
      <c r="C1159" s="163"/>
      <c r="D1159" s="163"/>
      <c r="E1159" s="163"/>
      <c r="F1159" s="163"/>
      <c r="G1159" s="163"/>
      <c r="H1159" s="163"/>
      <c r="I1159" s="163"/>
      <c r="J1159" s="163"/>
      <c r="K1159" s="163"/>
      <c r="L1159" s="163"/>
      <c r="M1159" s="163"/>
      <c r="N1159" s="163"/>
      <c r="O1159" s="163"/>
      <c r="P1159" s="163"/>
      <c r="Q1159" s="163"/>
      <c r="R1159" s="163"/>
      <c r="S1159" s="163"/>
      <c r="T1159" s="163"/>
      <c r="U1159" s="178" t="s">
        <v>2153</v>
      </c>
      <c r="V1159" s="165"/>
      <c r="W1159" s="451">
        <v>20107500</v>
      </c>
      <c r="X1159" s="165"/>
      <c r="Y1159" s="165"/>
    </row>
    <row r="1160" spans="1:25">
      <c r="A1160" s="162"/>
      <c r="B1160" s="163"/>
      <c r="C1160" s="163"/>
      <c r="D1160" s="163"/>
      <c r="E1160" s="163"/>
      <c r="F1160" s="163"/>
      <c r="G1160" s="163"/>
      <c r="H1160" s="163"/>
      <c r="I1160" s="163"/>
      <c r="J1160" s="163"/>
      <c r="K1160" s="163"/>
      <c r="L1160" s="163"/>
      <c r="M1160" s="163"/>
      <c r="N1160" s="163"/>
      <c r="O1160" s="163"/>
      <c r="P1160" s="163"/>
      <c r="Q1160" s="163"/>
      <c r="R1160" s="163"/>
      <c r="S1160" s="163"/>
      <c r="T1160" s="163"/>
      <c r="U1160" s="178" t="s">
        <v>1562</v>
      </c>
      <c r="V1160" s="165"/>
      <c r="W1160" s="451">
        <v>30270000</v>
      </c>
      <c r="X1160" s="165"/>
      <c r="Y1160" s="165"/>
    </row>
    <row r="1161" spans="1:25" ht="25.5">
      <c r="A1161" s="162"/>
      <c r="B1161" s="163"/>
      <c r="C1161" s="163"/>
      <c r="D1161" s="163"/>
      <c r="E1161" s="163"/>
      <c r="F1161" s="163"/>
      <c r="G1161" s="163"/>
      <c r="H1161" s="163"/>
      <c r="I1161" s="163"/>
      <c r="J1161" s="163"/>
      <c r="K1161" s="163"/>
      <c r="L1161" s="163"/>
      <c r="M1161" s="163"/>
      <c r="N1161" s="163"/>
      <c r="O1161" s="163"/>
      <c r="P1161" s="163"/>
      <c r="Q1161" s="163"/>
      <c r="R1161" s="163"/>
      <c r="S1161" s="163"/>
      <c r="T1161" s="163"/>
      <c r="U1161" s="178" t="s">
        <v>2069</v>
      </c>
      <c r="V1161" s="165"/>
      <c r="W1161" s="451">
        <v>15000000</v>
      </c>
      <c r="X1161" s="165"/>
      <c r="Y1161" s="165"/>
    </row>
    <row r="1162" spans="1:25">
      <c r="A1162" s="162"/>
      <c r="B1162" s="163"/>
      <c r="C1162" s="163"/>
      <c r="D1162" s="163"/>
      <c r="E1162" s="163"/>
      <c r="F1162" s="163"/>
      <c r="G1162" s="163"/>
      <c r="H1162" s="163"/>
      <c r="I1162" s="163"/>
      <c r="J1162" s="163"/>
      <c r="K1162" s="163"/>
      <c r="L1162" s="163"/>
      <c r="M1162" s="163"/>
      <c r="N1162" s="163"/>
      <c r="O1162" s="163"/>
      <c r="P1162" s="163"/>
      <c r="Q1162" s="163"/>
      <c r="R1162" s="163"/>
      <c r="S1162" s="163"/>
      <c r="T1162" s="163"/>
      <c r="U1162" s="178" t="s">
        <v>2507</v>
      </c>
      <c r="V1162" s="165"/>
      <c r="W1162" s="451">
        <v>609220000</v>
      </c>
      <c r="X1162" s="165"/>
      <c r="Y1162" s="165"/>
    </row>
    <row r="1163" spans="1:25">
      <c r="A1163" s="162"/>
      <c r="B1163" s="163"/>
      <c r="C1163" s="163"/>
      <c r="D1163" s="163"/>
      <c r="E1163" s="163"/>
      <c r="F1163" s="163"/>
      <c r="G1163" s="163"/>
      <c r="H1163" s="163"/>
      <c r="I1163" s="163"/>
      <c r="J1163" s="163"/>
      <c r="K1163" s="163"/>
      <c r="L1163" s="163"/>
      <c r="M1163" s="163"/>
      <c r="N1163" s="163"/>
      <c r="O1163" s="163"/>
      <c r="P1163" s="163"/>
      <c r="Q1163" s="163"/>
      <c r="R1163" s="163"/>
      <c r="S1163" s="163"/>
      <c r="T1163" s="163"/>
      <c r="U1163" s="178" t="s">
        <v>1563</v>
      </c>
      <c r="V1163" s="165"/>
      <c r="W1163" s="451">
        <v>100220002</v>
      </c>
      <c r="X1163" s="165"/>
      <c r="Y1163" s="165"/>
    </row>
    <row r="1164" spans="1:25">
      <c r="A1164" s="162"/>
      <c r="B1164" s="163"/>
      <c r="C1164" s="163"/>
      <c r="D1164" s="163"/>
      <c r="E1164" s="163"/>
      <c r="F1164" s="163"/>
      <c r="G1164" s="163"/>
      <c r="H1164" s="163"/>
      <c r="I1164" s="163"/>
      <c r="J1164" s="163"/>
      <c r="K1164" s="163"/>
      <c r="L1164" s="163"/>
      <c r="M1164" s="163"/>
      <c r="N1164" s="163"/>
      <c r="O1164" s="163"/>
      <c r="P1164" s="163"/>
      <c r="Q1164" s="163"/>
      <c r="R1164" s="163"/>
      <c r="S1164" s="163"/>
      <c r="T1164" s="163"/>
      <c r="U1164" s="178" t="s">
        <v>1564</v>
      </c>
      <c r="V1164" s="165">
        <v>500000000</v>
      </c>
      <c r="W1164" s="451">
        <v>0</v>
      </c>
      <c r="X1164" s="165"/>
      <c r="Y1164" s="165"/>
    </row>
    <row r="1165" spans="1:25" ht="25.5">
      <c r="A1165" s="162"/>
      <c r="B1165" s="163"/>
      <c r="C1165" s="163"/>
      <c r="D1165" s="163"/>
      <c r="E1165" s="163"/>
      <c r="F1165" s="163"/>
      <c r="G1165" s="163"/>
      <c r="H1165" s="163"/>
      <c r="I1165" s="163"/>
      <c r="J1165" s="163"/>
      <c r="K1165" s="163"/>
      <c r="L1165" s="163"/>
      <c r="M1165" s="163"/>
      <c r="N1165" s="163"/>
      <c r="O1165" s="163"/>
      <c r="P1165" s="163"/>
      <c r="Q1165" s="163"/>
      <c r="R1165" s="163"/>
      <c r="S1165" s="163"/>
      <c r="T1165" s="163"/>
      <c r="U1165" s="368" t="s">
        <v>2511</v>
      </c>
      <c r="V1165" s="165"/>
      <c r="W1165" s="451">
        <v>0</v>
      </c>
      <c r="X1165" s="383">
        <v>240211500</v>
      </c>
      <c r="Y1165" s="165"/>
    </row>
    <row r="1166" spans="1:25" ht="25.5">
      <c r="A1166" s="162"/>
      <c r="B1166" s="163"/>
      <c r="C1166" s="163"/>
      <c r="D1166" s="163"/>
      <c r="E1166" s="163"/>
      <c r="F1166" s="163"/>
      <c r="G1166" s="163"/>
      <c r="H1166" s="163"/>
      <c r="I1166" s="163"/>
      <c r="J1166" s="163"/>
      <c r="K1166" s="163"/>
      <c r="L1166" s="163"/>
      <c r="M1166" s="163"/>
      <c r="N1166" s="163"/>
      <c r="O1166" s="163"/>
      <c r="P1166" s="163"/>
      <c r="Q1166" s="163"/>
      <c r="R1166" s="163"/>
      <c r="S1166" s="163"/>
      <c r="T1166" s="163"/>
      <c r="U1166" s="178" t="s">
        <v>2512</v>
      </c>
      <c r="V1166" s="165"/>
      <c r="W1166" s="451">
        <v>0</v>
      </c>
      <c r="X1166" s="282">
        <v>50107500</v>
      </c>
      <c r="Y1166" s="165"/>
    </row>
    <row r="1167" spans="1:25" s="184" customFormat="1">
      <c r="A1167" s="181"/>
      <c r="B1167" s="182"/>
      <c r="C1167" s="182"/>
      <c r="D1167" s="182"/>
      <c r="E1167" s="182"/>
      <c r="F1167" s="182"/>
      <c r="G1167" s="182"/>
      <c r="H1167" s="182"/>
      <c r="I1167" s="182"/>
      <c r="J1167" s="182"/>
      <c r="K1167" s="182"/>
      <c r="L1167" s="182"/>
      <c r="M1167" s="182"/>
      <c r="N1167" s="182"/>
      <c r="O1167" s="182"/>
      <c r="P1167" s="182"/>
      <c r="Q1167" s="182"/>
      <c r="R1167" s="182"/>
      <c r="S1167" s="182"/>
      <c r="T1167" s="182"/>
      <c r="U1167" s="183"/>
      <c r="V1167" s="168">
        <f>SUM(V1146:V1166)</f>
        <v>2078397500</v>
      </c>
      <c r="W1167" s="334">
        <f t="shared" ref="W1167:Y1167" si="133">SUM(W1146:W1166)</f>
        <v>4274251002</v>
      </c>
      <c r="X1167" s="168">
        <f t="shared" si="133"/>
        <v>1840426500</v>
      </c>
      <c r="Y1167" s="168">
        <f t="shared" si="133"/>
        <v>1500000000</v>
      </c>
    </row>
    <row r="1169" spans="1:25">
      <c r="U1169" s="185" t="s">
        <v>1218</v>
      </c>
    </row>
    <row r="1170" spans="1:25" ht="25.5">
      <c r="U1170" s="185" t="s">
        <v>2090</v>
      </c>
    </row>
    <row r="1171" spans="1:25">
      <c r="U1171" s="144" t="s">
        <v>1565</v>
      </c>
      <c r="V1171" s="262">
        <v>1500000000</v>
      </c>
    </row>
    <row r="1172" spans="1:25">
      <c r="U1172" s="144" t="s">
        <v>2181</v>
      </c>
      <c r="V1172" s="262">
        <v>2774251002</v>
      </c>
    </row>
    <row r="1173" spans="1:25">
      <c r="U1173" s="190"/>
      <c r="V1173" s="262"/>
    </row>
    <row r="1175" spans="1:25" ht="26.25">
      <c r="A1175" s="175" t="s">
        <v>951</v>
      </c>
      <c r="B1175" s="176"/>
      <c r="C1175" s="176"/>
      <c r="D1175" s="176"/>
      <c r="E1175" s="176"/>
      <c r="F1175" s="176"/>
      <c r="G1175" s="176"/>
      <c r="H1175" s="176"/>
      <c r="I1175" s="176"/>
      <c r="J1175" s="176"/>
      <c r="K1175" s="176"/>
      <c r="L1175" s="176"/>
      <c r="M1175" s="176"/>
      <c r="N1175" s="176"/>
      <c r="O1175" s="176"/>
      <c r="P1175" s="176"/>
      <c r="Q1175" s="176"/>
      <c r="R1175" s="176"/>
      <c r="S1175" s="176"/>
      <c r="T1175" s="176"/>
      <c r="U1175" s="176"/>
      <c r="V1175" s="176"/>
      <c r="W1175" s="345"/>
      <c r="X1175" s="176"/>
      <c r="Y1175" s="176"/>
    </row>
    <row r="1176" spans="1:25">
      <c r="A1176" s="162"/>
      <c r="B1176" s="163"/>
      <c r="C1176" s="163"/>
      <c r="D1176" s="163"/>
      <c r="E1176" s="163"/>
      <c r="F1176" s="163"/>
      <c r="G1176" s="163"/>
      <c r="H1176" s="163"/>
      <c r="I1176" s="163"/>
      <c r="J1176" s="163"/>
      <c r="K1176" s="163"/>
      <c r="L1176" s="163"/>
      <c r="M1176" s="163"/>
      <c r="N1176" s="163"/>
      <c r="O1176" s="163"/>
      <c r="P1176" s="163"/>
      <c r="Q1176" s="163"/>
      <c r="R1176" s="163"/>
      <c r="S1176" s="163"/>
      <c r="T1176" s="163"/>
      <c r="U1176" s="178" t="s">
        <v>1945</v>
      </c>
      <c r="V1176" s="165"/>
      <c r="W1176" s="451">
        <v>40000000</v>
      </c>
      <c r="X1176" s="282">
        <v>44878000</v>
      </c>
      <c r="Y1176" s="366">
        <v>60000000</v>
      </c>
    </row>
    <row r="1177" spans="1:25">
      <c r="A1177" s="162"/>
      <c r="B1177" s="163"/>
      <c r="C1177" s="163"/>
      <c r="D1177" s="163"/>
      <c r="E1177" s="163"/>
      <c r="F1177" s="163"/>
      <c r="G1177" s="163"/>
      <c r="H1177" s="163"/>
      <c r="I1177" s="163"/>
      <c r="J1177" s="163"/>
      <c r="K1177" s="163"/>
      <c r="L1177" s="163"/>
      <c r="M1177" s="163"/>
      <c r="N1177" s="163"/>
      <c r="O1177" s="163"/>
      <c r="P1177" s="163"/>
      <c r="Q1177" s="163"/>
      <c r="R1177" s="163"/>
      <c r="S1177" s="163"/>
      <c r="T1177" s="163"/>
      <c r="U1177" s="178" t="s">
        <v>1566</v>
      </c>
      <c r="V1177" s="165"/>
      <c r="W1177" s="451">
        <v>12360000</v>
      </c>
      <c r="X1177" s="282">
        <v>63739500</v>
      </c>
      <c r="Y1177" s="366">
        <v>75000000</v>
      </c>
    </row>
    <row r="1178" spans="1:25">
      <c r="A1178" s="162"/>
      <c r="B1178" s="163"/>
      <c r="C1178" s="163"/>
      <c r="D1178" s="163"/>
      <c r="E1178" s="163"/>
      <c r="F1178" s="163"/>
      <c r="G1178" s="163"/>
      <c r="H1178" s="163"/>
      <c r="I1178" s="163"/>
      <c r="J1178" s="163"/>
      <c r="K1178" s="163"/>
      <c r="L1178" s="163"/>
      <c r="M1178" s="163"/>
      <c r="N1178" s="163"/>
      <c r="O1178" s="163"/>
      <c r="P1178" s="163"/>
      <c r="Q1178" s="163"/>
      <c r="R1178" s="163"/>
      <c r="S1178" s="163"/>
      <c r="T1178" s="163"/>
      <c r="U1178" s="178" t="s">
        <v>2513</v>
      </c>
      <c r="V1178" s="165"/>
      <c r="W1178" s="451">
        <v>13627819</v>
      </c>
      <c r="X1178" s="165"/>
      <c r="Y1178" s="165"/>
    </row>
    <row r="1179" spans="1:25">
      <c r="A1179" s="162"/>
      <c r="B1179" s="163"/>
      <c r="C1179" s="163"/>
      <c r="D1179" s="163"/>
      <c r="E1179" s="163"/>
      <c r="F1179" s="163"/>
      <c r="G1179" s="163"/>
      <c r="H1179" s="163"/>
      <c r="I1179" s="163"/>
      <c r="J1179" s="163"/>
      <c r="K1179" s="163"/>
      <c r="L1179" s="163"/>
      <c r="M1179" s="163"/>
      <c r="N1179" s="163"/>
      <c r="O1179" s="163"/>
      <c r="P1179" s="163"/>
      <c r="Q1179" s="163"/>
      <c r="R1179" s="163"/>
      <c r="S1179" s="163"/>
      <c r="T1179" s="163"/>
      <c r="U1179" s="178" t="s">
        <v>2514</v>
      </c>
      <c r="V1179" s="165"/>
      <c r="W1179" s="451">
        <v>46290000</v>
      </c>
      <c r="X1179" s="165"/>
      <c r="Y1179" s="165"/>
    </row>
    <row r="1180" spans="1:25">
      <c r="A1180" s="162"/>
      <c r="B1180" s="163"/>
      <c r="C1180" s="163"/>
      <c r="D1180" s="163"/>
      <c r="E1180" s="163"/>
      <c r="F1180" s="163"/>
      <c r="G1180" s="163"/>
      <c r="H1180" s="163"/>
      <c r="I1180" s="163"/>
      <c r="J1180" s="163"/>
      <c r="K1180" s="163"/>
      <c r="L1180" s="163"/>
      <c r="M1180" s="163"/>
      <c r="N1180" s="163"/>
      <c r="O1180" s="163"/>
      <c r="P1180" s="163"/>
      <c r="Q1180" s="163"/>
      <c r="R1180" s="163"/>
      <c r="S1180" s="163"/>
      <c r="T1180" s="163"/>
      <c r="U1180" s="178" t="s">
        <v>2515</v>
      </c>
      <c r="V1180" s="165">
        <v>22099380.68</v>
      </c>
      <c r="W1180" s="451">
        <v>10756450</v>
      </c>
      <c r="X1180" s="165">
        <v>25000000</v>
      </c>
      <c r="Y1180" s="165">
        <v>15500000</v>
      </c>
    </row>
    <row r="1181" spans="1:25">
      <c r="A1181" s="162"/>
      <c r="B1181" s="163"/>
      <c r="C1181" s="163"/>
      <c r="D1181" s="163"/>
      <c r="E1181" s="163"/>
      <c r="F1181" s="163"/>
      <c r="G1181" s="163"/>
      <c r="H1181" s="163"/>
      <c r="I1181" s="163"/>
      <c r="J1181" s="163"/>
      <c r="K1181" s="163"/>
      <c r="L1181" s="163"/>
      <c r="M1181" s="163"/>
      <c r="N1181" s="163"/>
      <c r="O1181" s="163"/>
      <c r="P1181" s="163"/>
      <c r="Q1181" s="163"/>
      <c r="R1181" s="163"/>
      <c r="S1181" s="163"/>
      <c r="T1181" s="163"/>
      <c r="U1181" s="178" t="s">
        <v>1567</v>
      </c>
      <c r="V1181" s="165"/>
      <c r="W1181" s="451">
        <v>0</v>
      </c>
      <c r="X1181" s="165"/>
      <c r="Y1181" s="165"/>
    </row>
    <row r="1182" spans="1:25" ht="25.5">
      <c r="A1182" s="162"/>
      <c r="B1182" s="163"/>
      <c r="C1182" s="163"/>
      <c r="D1182" s="163"/>
      <c r="E1182" s="163"/>
      <c r="F1182" s="163"/>
      <c r="G1182" s="163"/>
      <c r="H1182" s="163"/>
      <c r="I1182" s="163"/>
      <c r="J1182" s="163"/>
      <c r="K1182" s="163"/>
      <c r="L1182" s="163"/>
      <c r="M1182" s="163"/>
      <c r="N1182" s="163"/>
      <c r="O1182" s="163"/>
      <c r="P1182" s="163"/>
      <c r="Q1182" s="163"/>
      <c r="R1182" s="163"/>
      <c r="S1182" s="163"/>
      <c r="T1182" s="163"/>
      <c r="U1182" s="178" t="s">
        <v>2629</v>
      </c>
      <c r="V1182" s="165"/>
      <c r="W1182" s="451">
        <v>66000000</v>
      </c>
      <c r="X1182" s="165"/>
      <c r="Y1182" s="165"/>
    </row>
    <row r="1183" spans="1:25" ht="25.5">
      <c r="A1183" s="162"/>
      <c r="B1183" s="163"/>
      <c r="C1183" s="163"/>
      <c r="D1183" s="163"/>
      <c r="E1183" s="163"/>
      <c r="F1183" s="163"/>
      <c r="G1183" s="163"/>
      <c r="H1183" s="163"/>
      <c r="I1183" s="163"/>
      <c r="J1183" s="163"/>
      <c r="K1183" s="163"/>
      <c r="L1183" s="163"/>
      <c r="M1183" s="163"/>
      <c r="N1183" s="163"/>
      <c r="O1183" s="163"/>
      <c r="P1183" s="163"/>
      <c r="Q1183" s="163"/>
      <c r="R1183" s="163"/>
      <c r="S1183" s="163"/>
      <c r="T1183" s="163"/>
      <c r="U1183" s="178" t="s">
        <v>1568</v>
      </c>
      <c r="V1183" s="165"/>
      <c r="W1183" s="451">
        <v>0</v>
      </c>
      <c r="X1183" s="165"/>
      <c r="Y1183" s="165"/>
    </row>
    <row r="1184" spans="1:25">
      <c r="A1184" s="162"/>
      <c r="B1184" s="163"/>
      <c r="C1184" s="163"/>
      <c r="D1184" s="163"/>
      <c r="E1184" s="163"/>
      <c r="F1184" s="163"/>
      <c r="G1184" s="163"/>
      <c r="H1184" s="163"/>
      <c r="I1184" s="163"/>
      <c r="J1184" s="163"/>
      <c r="K1184" s="163"/>
      <c r="L1184" s="163"/>
      <c r="M1184" s="163"/>
      <c r="N1184" s="163"/>
      <c r="O1184" s="163"/>
      <c r="P1184" s="163"/>
      <c r="Q1184" s="163"/>
      <c r="R1184" s="163"/>
      <c r="S1184" s="163"/>
      <c r="T1184" s="163"/>
      <c r="U1184" s="178" t="s">
        <v>1569</v>
      </c>
      <c r="V1184" s="165"/>
      <c r="W1184" s="451">
        <v>0</v>
      </c>
      <c r="X1184" s="165"/>
      <c r="Y1184" s="165"/>
    </row>
    <row r="1185" spans="1:25">
      <c r="A1185" s="162"/>
      <c r="B1185" s="163"/>
      <c r="C1185" s="163"/>
      <c r="D1185" s="163"/>
      <c r="E1185" s="163"/>
      <c r="F1185" s="163"/>
      <c r="G1185" s="163"/>
      <c r="H1185" s="163"/>
      <c r="I1185" s="163"/>
      <c r="J1185" s="163"/>
      <c r="K1185" s="163"/>
      <c r="L1185" s="163"/>
      <c r="M1185" s="163"/>
      <c r="N1185" s="163"/>
      <c r="O1185" s="163"/>
      <c r="P1185" s="163"/>
      <c r="Q1185" s="163"/>
      <c r="R1185" s="163"/>
      <c r="S1185" s="163"/>
      <c r="T1185" s="163"/>
      <c r="U1185" s="178" t="s">
        <v>2516</v>
      </c>
      <c r="V1185" s="165"/>
      <c r="W1185" s="451">
        <v>0</v>
      </c>
      <c r="X1185" s="165"/>
      <c r="Y1185" s="165"/>
    </row>
    <row r="1186" spans="1:25" ht="25.5">
      <c r="A1186" s="162"/>
      <c r="B1186" s="163"/>
      <c r="C1186" s="163"/>
      <c r="D1186" s="163"/>
      <c r="E1186" s="163"/>
      <c r="F1186" s="163"/>
      <c r="G1186" s="163"/>
      <c r="H1186" s="163"/>
      <c r="I1186" s="163"/>
      <c r="J1186" s="163"/>
      <c r="K1186" s="163"/>
      <c r="L1186" s="163"/>
      <c r="M1186" s="163"/>
      <c r="N1186" s="163"/>
      <c r="O1186" s="163"/>
      <c r="P1186" s="163"/>
      <c r="Q1186" s="163"/>
      <c r="R1186" s="163"/>
      <c r="S1186" s="163"/>
      <c r="T1186" s="163"/>
      <c r="U1186" s="178" t="s">
        <v>1570</v>
      </c>
      <c r="V1186" s="165"/>
      <c r="W1186" s="451">
        <v>0</v>
      </c>
      <c r="X1186" s="282">
        <v>30000000</v>
      </c>
      <c r="Y1186" s="373" t="s">
        <v>304</v>
      </c>
    </row>
    <row r="1187" spans="1:25" ht="25.5">
      <c r="A1187" s="162"/>
      <c r="B1187" s="163"/>
      <c r="C1187" s="163"/>
      <c r="D1187" s="163"/>
      <c r="E1187" s="163"/>
      <c r="F1187" s="163"/>
      <c r="G1187" s="163"/>
      <c r="H1187" s="163"/>
      <c r="I1187" s="163"/>
      <c r="J1187" s="163"/>
      <c r="K1187" s="163"/>
      <c r="L1187" s="163"/>
      <c r="M1187" s="163"/>
      <c r="N1187" s="163"/>
      <c r="O1187" s="163"/>
      <c r="P1187" s="163"/>
      <c r="Q1187" s="163"/>
      <c r="R1187" s="163"/>
      <c r="S1187" s="163"/>
      <c r="T1187" s="163"/>
      <c r="U1187" s="178" t="s">
        <v>1571</v>
      </c>
      <c r="V1187" s="165"/>
      <c r="W1187" s="451">
        <v>0</v>
      </c>
      <c r="X1187" s="165"/>
      <c r="Y1187" s="165"/>
    </row>
    <row r="1188" spans="1:25" ht="25.5">
      <c r="A1188" s="162"/>
      <c r="B1188" s="163"/>
      <c r="C1188" s="163"/>
      <c r="D1188" s="163"/>
      <c r="E1188" s="163"/>
      <c r="F1188" s="163"/>
      <c r="G1188" s="163"/>
      <c r="H1188" s="163"/>
      <c r="I1188" s="163"/>
      <c r="J1188" s="163"/>
      <c r="K1188" s="163"/>
      <c r="L1188" s="163"/>
      <c r="M1188" s="163"/>
      <c r="N1188" s="163"/>
      <c r="O1188" s="163"/>
      <c r="P1188" s="163"/>
      <c r="Q1188" s="163"/>
      <c r="R1188" s="163"/>
      <c r="S1188" s="163"/>
      <c r="T1188" s="163"/>
      <c r="U1188" s="178" t="s">
        <v>2598</v>
      </c>
      <c r="V1188" s="165"/>
      <c r="W1188" s="451">
        <v>16230260</v>
      </c>
      <c r="X1188" s="282">
        <v>20000000</v>
      </c>
      <c r="Y1188" s="366">
        <v>10000000</v>
      </c>
    </row>
    <row r="1189" spans="1:25">
      <c r="A1189" s="162"/>
      <c r="B1189" s="163"/>
      <c r="C1189" s="163"/>
      <c r="D1189" s="163"/>
      <c r="E1189" s="163"/>
      <c r="F1189" s="163"/>
      <c r="G1189" s="163"/>
      <c r="H1189" s="163"/>
      <c r="I1189" s="163"/>
      <c r="J1189" s="163"/>
      <c r="K1189" s="163"/>
      <c r="L1189" s="163"/>
      <c r="M1189" s="163"/>
      <c r="N1189" s="163"/>
      <c r="O1189" s="163"/>
      <c r="P1189" s="163"/>
      <c r="Q1189" s="163"/>
      <c r="R1189" s="163"/>
      <c r="S1189" s="163"/>
      <c r="T1189" s="163"/>
      <c r="U1189" s="178" t="s">
        <v>2599</v>
      </c>
      <c r="V1189" s="165"/>
      <c r="W1189" s="451">
        <v>3661000</v>
      </c>
      <c r="X1189" s="165"/>
      <c r="Y1189" s="165"/>
    </row>
    <row r="1190" spans="1:25">
      <c r="A1190" s="162"/>
      <c r="B1190" s="163"/>
      <c r="C1190" s="163"/>
      <c r="D1190" s="163"/>
      <c r="E1190" s="163"/>
      <c r="F1190" s="163"/>
      <c r="G1190" s="163"/>
      <c r="H1190" s="163"/>
      <c r="I1190" s="163"/>
      <c r="J1190" s="163"/>
      <c r="K1190" s="163"/>
      <c r="L1190" s="163"/>
      <c r="M1190" s="163"/>
      <c r="N1190" s="163"/>
      <c r="O1190" s="163"/>
      <c r="P1190" s="163"/>
      <c r="Q1190" s="163"/>
      <c r="R1190" s="163"/>
      <c r="S1190" s="163"/>
      <c r="T1190" s="163"/>
      <c r="U1190" s="178" t="s">
        <v>2517</v>
      </c>
      <c r="V1190" s="165"/>
      <c r="W1190" s="451">
        <v>30000000</v>
      </c>
      <c r="X1190" s="165"/>
      <c r="Y1190" s="165"/>
    </row>
    <row r="1191" spans="1:25" ht="25.5">
      <c r="A1191" s="162"/>
      <c r="B1191" s="163"/>
      <c r="C1191" s="163"/>
      <c r="D1191" s="163"/>
      <c r="E1191" s="163"/>
      <c r="F1191" s="163"/>
      <c r="G1191" s="163"/>
      <c r="H1191" s="163"/>
      <c r="I1191" s="163"/>
      <c r="J1191" s="163"/>
      <c r="K1191" s="163"/>
      <c r="L1191" s="163"/>
      <c r="M1191" s="163"/>
      <c r="N1191" s="163"/>
      <c r="O1191" s="163"/>
      <c r="P1191" s="163"/>
      <c r="Q1191" s="163"/>
      <c r="R1191" s="163"/>
      <c r="S1191" s="163"/>
      <c r="T1191" s="163"/>
      <c r="U1191" s="178" t="s">
        <v>1572</v>
      </c>
      <c r="V1191" s="165"/>
      <c r="W1191" s="451">
        <v>3751000</v>
      </c>
      <c r="X1191" s="165"/>
      <c r="Y1191" s="165"/>
    </row>
    <row r="1192" spans="1:25">
      <c r="A1192" s="162"/>
      <c r="B1192" s="163"/>
      <c r="C1192" s="163"/>
      <c r="D1192" s="163"/>
      <c r="E1192" s="163"/>
      <c r="F1192" s="163"/>
      <c r="G1192" s="163"/>
      <c r="H1192" s="163"/>
      <c r="I1192" s="163"/>
      <c r="J1192" s="163"/>
      <c r="K1192" s="163"/>
      <c r="L1192" s="163"/>
      <c r="M1192" s="163"/>
      <c r="N1192" s="163"/>
      <c r="O1192" s="163"/>
      <c r="P1192" s="163"/>
      <c r="Q1192" s="163"/>
      <c r="R1192" s="163"/>
      <c r="S1192" s="163"/>
      <c r="T1192" s="163"/>
      <c r="U1192" s="178" t="s">
        <v>1946</v>
      </c>
      <c r="V1192" s="165"/>
      <c r="W1192" s="451">
        <v>3841000</v>
      </c>
      <c r="X1192" s="165"/>
      <c r="Y1192" s="165"/>
    </row>
    <row r="1193" spans="1:25">
      <c r="A1193" s="162"/>
      <c r="B1193" s="163"/>
      <c r="C1193" s="163"/>
      <c r="D1193" s="163"/>
      <c r="E1193" s="163"/>
      <c r="F1193" s="163"/>
      <c r="G1193" s="163"/>
      <c r="H1193" s="163"/>
      <c r="I1193" s="163"/>
      <c r="J1193" s="163"/>
      <c r="K1193" s="163"/>
      <c r="L1193" s="163"/>
      <c r="M1193" s="163"/>
      <c r="N1193" s="163"/>
      <c r="O1193" s="163"/>
      <c r="P1193" s="163"/>
      <c r="Q1193" s="163"/>
      <c r="R1193" s="163"/>
      <c r="S1193" s="163"/>
      <c r="T1193" s="163"/>
      <c r="U1193" s="178" t="s">
        <v>1947</v>
      </c>
      <c r="V1193" s="165"/>
      <c r="W1193" s="451">
        <v>60750000</v>
      </c>
      <c r="X1193" s="165"/>
      <c r="Y1193" s="165"/>
    </row>
    <row r="1194" spans="1:25" ht="25.5">
      <c r="A1194" s="162"/>
      <c r="B1194" s="163"/>
      <c r="C1194" s="163"/>
      <c r="D1194" s="163"/>
      <c r="E1194" s="163"/>
      <c r="F1194" s="163"/>
      <c r="G1194" s="163"/>
      <c r="H1194" s="163"/>
      <c r="I1194" s="163"/>
      <c r="J1194" s="163"/>
      <c r="K1194" s="163"/>
      <c r="L1194" s="163"/>
      <c r="M1194" s="163"/>
      <c r="N1194" s="163"/>
      <c r="O1194" s="163"/>
      <c r="P1194" s="163"/>
      <c r="Q1194" s="163"/>
      <c r="R1194" s="163"/>
      <c r="S1194" s="163"/>
      <c r="T1194" s="163"/>
      <c r="U1194" s="178" t="s">
        <v>1948</v>
      </c>
      <c r="V1194" s="165">
        <v>7658580.3200000003</v>
      </c>
      <c r="W1194" s="451">
        <v>0</v>
      </c>
      <c r="X1194" s="165"/>
      <c r="Y1194" s="165"/>
    </row>
    <row r="1195" spans="1:25">
      <c r="A1195" s="162"/>
      <c r="B1195" s="163"/>
      <c r="C1195" s="163"/>
      <c r="D1195" s="163"/>
      <c r="E1195" s="163"/>
      <c r="F1195" s="163"/>
      <c r="G1195" s="163"/>
      <c r="H1195" s="163"/>
      <c r="I1195" s="163"/>
      <c r="J1195" s="163"/>
      <c r="K1195" s="163"/>
      <c r="L1195" s="163"/>
      <c r="M1195" s="163"/>
      <c r="N1195" s="163"/>
      <c r="O1195" s="163"/>
      <c r="P1195" s="163"/>
      <c r="Q1195" s="163"/>
      <c r="R1195" s="163"/>
      <c r="S1195" s="163"/>
      <c r="T1195" s="163"/>
      <c r="U1195" s="178" t="s">
        <v>1573</v>
      </c>
      <c r="V1195" s="165">
        <v>7664700</v>
      </c>
      <c r="W1195" s="451">
        <v>0</v>
      </c>
      <c r="X1195" s="165"/>
      <c r="Y1195" s="165"/>
    </row>
    <row r="1196" spans="1:25">
      <c r="A1196" s="162"/>
      <c r="B1196" s="163"/>
      <c r="C1196" s="163"/>
      <c r="D1196" s="163"/>
      <c r="E1196" s="163"/>
      <c r="F1196" s="163"/>
      <c r="G1196" s="163"/>
      <c r="H1196" s="163"/>
      <c r="I1196" s="163"/>
      <c r="J1196" s="163"/>
      <c r="K1196" s="163"/>
      <c r="L1196" s="163"/>
      <c r="M1196" s="163"/>
      <c r="N1196" s="163"/>
      <c r="O1196" s="163"/>
      <c r="P1196" s="163"/>
      <c r="Q1196" s="163"/>
      <c r="R1196" s="163"/>
      <c r="S1196" s="163"/>
      <c r="T1196" s="163"/>
      <c r="U1196" s="178" t="s">
        <v>2518</v>
      </c>
      <c r="V1196" s="165"/>
      <c r="W1196" s="451">
        <v>0</v>
      </c>
      <c r="X1196" s="165">
        <v>80000000</v>
      </c>
      <c r="Y1196" s="165"/>
    </row>
    <row r="1197" spans="1:25">
      <c r="A1197" s="162"/>
      <c r="B1197" s="163"/>
      <c r="C1197" s="163"/>
      <c r="D1197" s="163"/>
      <c r="E1197" s="163"/>
      <c r="F1197" s="163"/>
      <c r="G1197" s="163"/>
      <c r="H1197" s="163"/>
      <c r="I1197" s="163"/>
      <c r="J1197" s="163"/>
      <c r="K1197" s="163"/>
      <c r="L1197" s="163"/>
      <c r="M1197" s="163"/>
      <c r="N1197" s="163"/>
      <c r="O1197" s="163"/>
      <c r="P1197" s="163"/>
      <c r="Q1197" s="163"/>
      <c r="R1197" s="163"/>
      <c r="S1197" s="163"/>
      <c r="T1197" s="163"/>
      <c r="U1197" s="178" t="s">
        <v>2108</v>
      </c>
      <c r="V1197" s="165"/>
      <c r="W1197" s="451">
        <v>0</v>
      </c>
      <c r="X1197" s="282">
        <v>15000000</v>
      </c>
      <c r="Y1197" s="373"/>
    </row>
    <row r="1198" spans="1:25">
      <c r="A1198" s="162"/>
      <c r="B1198" s="163"/>
      <c r="C1198" s="163"/>
      <c r="D1198" s="163"/>
      <c r="E1198" s="163"/>
      <c r="F1198" s="163"/>
      <c r="G1198" s="163"/>
      <c r="H1198" s="163"/>
      <c r="I1198" s="163"/>
      <c r="J1198" s="163"/>
      <c r="K1198" s="163"/>
      <c r="L1198" s="163"/>
      <c r="M1198" s="163"/>
      <c r="N1198" s="163"/>
      <c r="O1198" s="163"/>
      <c r="P1198" s="163"/>
      <c r="Q1198" s="163"/>
      <c r="R1198" s="163"/>
      <c r="S1198" s="163"/>
      <c r="T1198" s="163"/>
      <c r="U1198" s="178" t="s">
        <v>2519</v>
      </c>
      <c r="V1198" s="165"/>
      <c r="W1198" s="451">
        <v>0</v>
      </c>
      <c r="X1198" s="282">
        <v>12000000</v>
      </c>
      <c r="Y1198" s="373" t="s">
        <v>304</v>
      </c>
    </row>
    <row r="1199" spans="1:25">
      <c r="A1199" s="162"/>
      <c r="B1199" s="163"/>
      <c r="C1199" s="163"/>
      <c r="D1199" s="163"/>
      <c r="E1199" s="163"/>
      <c r="F1199" s="163"/>
      <c r="G1199" s="163"/>
      <c r="H1199" s="163"/>
      <c r="I1199" s="163"/>
      <c r="J1199" s="163"/>
      <c r="K1199" s="163"/>
      <c r="L1199" s="163"/>
      <c r="M1199" s="163"/>
      <c r="N1199" s="163"/>
      <c r="O1199" s="163"/>
      <c r="P1199" s="163"/>
      <c r="Q1199" s="163"/>
      <c r="R1199" s="163"/>
      <c r="S1199" s="163"/>
      <c r="T1199" s="163"/>
      <c r="U1199" s="178" t="s">
        <v>2520</v>
      </c>
      <c r="V1199" s="165"/>
      <c r="W1199" s="451">
        <v>0</v>
      </c>
      <c r="X1199" s="282">
        <v>8500000</v>
      </c>
      <c r="Y1199" s="373"/>
    </row>
    <row r="1200" spans="1:25" ht="25.5">
      <c r="A1200" s="162"/>
      <c r="B1200" s="163"/>
      <c r="C1200" s="163"/>
      <c r="D1200" s="163"/>
      <c r="E1200" s="163"/>
      <c r="F1200" s="163"/>
      <c r="G1200" s="163"/>
      <c r="H1200" s="163"/>
      <c r="I1200" s="163"/>
      <c r="J1200" s="163"/>
      <c r="K1200" s="163"/>
      <c r="L1200" s="163"/>
      <c r="M1200" s="163"/>
      <c r="N1200" s="163"/>
      <c r="O1200" s="163"/>
      <c r="P1200" s="163"/>
      <c r="Q1200" s="163"/>
      <c r="R1200" s="163"/>
      <c r="S1200" s="163"/>
      <c r="T1200" s="163"/>
      <c r="U1200" s="178" t="s">
        <v>2521</v>
      </c>
      <c r="V1200" s="165"/>
      <c r="W1200" s="451">
        <v>0</v>
      </c>
      <c r="X1200" s="366">
        <v>13000000</v>
      </c>
      <c r="Y1200" s="373"/>
    </row>
    <row r="1201" spans="1:25" s="184" customFormat="1">
      <c r="A1201" s="181"/>
      <c r="B1201" s="182"/>
      <c r="C1201" s="182"/>
      <c r="D1201" s="182"/>
      <c r="E1201" s="182"/>
      <c r="F1201" s="182"/>
      <c r="G1201" s="182"/>
      <c r="H1201" s="182"/>
      <c r="I1201" s="182"/>
      <c r="J1201" s="182"/>
      <c r="K1201" s="182"/>
      <c r="L1201" s="182"/>
      <c r="M1201" s="182"/>
      <c r="N1201" s="182"/>
      <c r="O1201" s="182"/>
      <c r="P1201" s="182"/>
      <c r="Q1201" s="182"/>
      <c r="R1201" s="182"/>
      <c r="S1201" s="182"/>
      <c r="T1201" s="182"/>
      <c r="U1201" s="183"/>
      <c r="V1201" s="168">
        <f>SUM(V1176:V1200)</f>
        <v>37422661</v>
      </c>
      <c r="W1201" s="334">
        <f t="shared" ref="W1201:Y1201" si="134">SUM(W1176:W1200)</f>
        <v>307267529</v>
      </c>
      <c r="X1201" s="168">
        <f t="shared" si="134"/>
        <v>312117500</v>
      </c>
      <c r="Y1201" s="168">
        <f t="shared" si="134"/>
        <v>160500000</v>
      </c>
    </row>
    <row r="1206" spans="1:25">
      <c r="A1206" s="208"/>
    </row>
    <row r="1207" spans="1:25" ht="26.25">
      <c r="A1207" s="175" t="s">
        <v>1574</v>
      </c>
      <c r="B1207" s="176"/>
      <c r="C1207" s="176"/>
      <c r="D1207" s="176"/>
      <c r="E1207" s="176"/>
      <c r="F1207" s="176"/>
      <c r="G1207" s="176"/>
      <c r="H1207" s="176"/>
      <c r="I1207" s="176"/>
      <c r="J1207" s="176"/>
      <c r="K1207" s="176"/>
      <c r="L1207" s="176"/>
      <c r="M1207" s="176"/>
      <c r="N1207" s="176"/>
      <c r="O1207" s="176"/>
      <c r="P1207" s="176"/>
      <c r="Q1207" s="176"/>
      <c r="R1207" s="176"/>
      <c r="S1207" s="176"/>
      <c r="T1207" s="176"/>
      <c r="U1207" s="176"/>
      <c r="V1207" s="176"/>
      <c r="W1207" s="345"/>
      <c r="X1207" s="176"/>
      <c r="Y1207" s="176"/>
    </row>
    <row r="1208" spans="1:25" ht="25.5">
      <c r="A1208" s="162"/>
      <c r="B1208" s="163"/>
      <c r="C1208" s="163"/>
      <c r="D1208" s="163"/>
      <c r="E1208" s="163"/>
      <c r="F1208" s="163"/>
      <c r="G1208" s="163"/>
      <c r="H1208" s="163"/>
      <c r="I1208" s="163"/>
      <c r="J1208" s="163"/>
      <c r="K1208" s="163"/>
      <c r="L1208" s="163"/>
      <c r="M1208" s="163"/>
      <c r="N1208" s="163"/>
      <c r="O1208" s="163"/>
      <c r="P1208" s="163"/>
      <c r="Q1208" s="163"/>
      <c r="R1208" s="163"/>
      <c r="S1208" s="163"/>
      <c r="T1208" s="163"/>
      <c r="U1208" s="178" t="s">
        <v>1949</v>
      </c>
      <c r="V1208" s="165">
        <v>75978787.5</v>
      </c>
      <c r="W1208" s="451">
        <v>8000000</v>
      </c>
      <c r="X1208" s="165"/>
      <c r="Y1208" s="165"/>
    </row>
    <row r="1209" spans="1:25">
      <c r="A1209" s="162"/>
      <c r="B1209" s="163"/>
      <c r="C1209" s="163"/>
      <c r="D1209" s="163"/>
      <c r="E1209" s="163"/>
      <c r="F1209" s="163"/>
      <c r="G1209" s="163"/>
      <c r="H1209" s="163"/>
      <c r="I1209" s="163"/>
      <c r="J1209" s="163"/>
      <c r="K1209" s="163"/>
      <c r="L1209" s="163"/>
      <c r="M1209" s="163"/>
      <c r="N1209" s="163"/>
      <c r="O1209" s="163"/>
      <c r="P1209" s="163"/>
      <c r="Q1209" s="163"/>
      <c r="R1209" s="163"/>
      <c r="S1209" s="163"/>
      <c r="T1209" s="163"/>
      <c r="U1209" s="178" t="s">
        <v>1950</v>
      </c>
      <c r="V1209" s="165">
        <v>3800000000</v>
      </c>
      <c r="W1209" s="451">
        <v>210904800</v>
      </c>
      <c r="X1209" s="165"/>
      <c r="Y1209" s="165"/>
    </row>
    <row r="1210" spans="1:25" ht="25.5">
      <c r="A1210" s="162"/>
      <c r="B1210" s="163"/>
      <c r="C1210" s="163"/>
      <c r="D1210" s="163"/>
      <c r="E1210" s="163"/>
      <c r="F1210" s="163"/>
      <c r="G1210" s="163"/>
      <c r="H1210" s="163"/>
      <c r="I1210" s="163"/>
      <c r="J1210" s="163"/>
      <c r="K1210" s="163"/>
      <c r="L1210" s="163"/>
      <c r="M1210" s="163"/>
      <c r="N1210" s="163"/>
      <c r="O1210" s="163"/>
      <c r="P1210" s="163"/>
      <c r="Q1210" s="163"/>
      <c r="R1210" s="163"/>
      <c r="S1210" s="163"/>
      <c r="T1210" s="163"/>
      <c r="U1210" s="178" t="s">
        <v>1951</v>
      </c>
      <c r="V1210" s="165">
        <v>116598150.5</v>
      </c>
      <c r="W1210" s="451">
        <v>14565185</v>
      </c>
      <c r="X1210" s="366">
        <v>92800000</v>
      </c>
      <c r="Y1210" s="366">
        <v>0</v>
      </c>
    </row>
    <row r="1211" spans="1:25" ht="25.5">
      <c r="A1211" s="162"/>
      <c r="B1211" s="163"/>
      <c r="C1211" s="163"/>
      <c r="D1211" s="163"/>
      <c r="E1211" s="163"/>
      <c r="F1211" s="163"/>
      <c r="G1211" s="163"/>
      <c r="H1211" s="163"/>
      <c r="I1211" s="163"/>
      <c r="J1211" s="163"/>
      <c r="K1211" s="163"/>
      <c r="L1211" s="163"/>
      <c r="M1211" s="163"/>
      <c r="N1211" s="163"/>
      <c r="O1211" s="163"/>
      <c r="P1211" s="163"/>
      <c r="Q1211" s="163"/>
      <c r="R1211" s="163"/>
      <c r="S1211" s="163"/>
      <c r="T1211" s="163"/>
      <c r="U1211" s="178" t="s">
        <v>2491</v>
      </c>
      <c r="V1211" s="165">
        <v>82593000.040000007</v>
      </c>
      <c r="W1211" s="451">
        <v>50000000</v>
      </c>
      <c r="X1211" s="165"/>
      <c r="Y1211" s="165"/>
    </row>
    <row r="1212" spans="1:25" ht="25.5">
      <c r="A1212" s="162"/>
      <c r="B1212" s="163"/>
      <c r="C1212" s="163"/>
      <c r="D1212" s="163"/>
      <c r="E1212" s="163"/>
      <c r="F1212" s="163"/>
      <c r="G1212" s="163"/>
      <c r="H1212" s="163"/>
      <c r="I1212" s="163"/>
      <c r="J1212" s="163"/>
      <c r="K1212" s="163"/>
      <c r="L1212" s="163"/>
      <c r="M1212" s="163"/>
      <c r="N1212" s="163"/>
      <c r="O1212" s="163"/>
      <c r="P1212" s="163"/>
      <c r="Q1212" s="163"/>
      <c r="R1212" s="163"/>
      <c r="S1212" s="163"/>
      <c r="T1212" s="163"/>
      <c r="U1212" s="178" t="s">
        <v>2492</v>
      </c>
      <c r="V1212" s="165"/>
      <c r="W1212" s="451">
        <v>50000000</v>
      </c>
      <c r="X1212" s="165"/>
      <c r="Y1212" s="165"/>
    </row>
    <row r="1213" spans="1:25" ht="25.5">
      <c r="A1213" s="162"/>
      <c r="B1213" s="163"/>
      <c r="C1213" s="163"/>
      <c r="D1213" s="163"/>
      <c r="E1213" s="163"/>
      <c r="F1213" s="163"/>
      <c r="G1213" s="163"/>
      <c r="H1213" s="163"/>
      <c r="I1213" s="163"/>
      <c r="J1213" s="163"/>
      <c r="K1213" s="163"/>
      <c r="L1213" s="163"/>
      <c r="M1213" s="163"/>
      <c r="N1213" s="163"/>
      <c r="O1213" s="163"/>
      <c r="P1213" s="163"/>
      <c r="Q1213" s="163"/>
      <c r="R1213" s="163"/>
      <c r="S1213" s="163"/>
      <c r="T1213" s="163"/>
      <c r="U1213" s="178" t="s">
        <v>1952</v>
      </c>
      <c r="V1213" s="165"/>
      <c r="W1213" s="451">
        <v>0</v>
      </c>
      <c r="X1213" s="165"/>
      <c r="Y1213" s="165"/>
    </row>
    <row r="1214" spans="1:25" ht="25.5">
      <c r="A1214" s="162"/>
      <c r="B1214" s="163"/>
      <c r="C1214" s="163"/>
      <c r="D1214" s="163"/>
      <c r="E1214" s="163"/>
      <c r="F1214" s="163"/>
      <c r="G1214" s="163"/>
      <c r="H1214" s="163"/>
      <c r="I1214" s="163"/>
      <c r="J1214" s="163"/>
      <c r="K1214" s="163"/>
      <c r="L1214" s="163"/>
      <c r="M1214" s="163"/>
      <c r="N1214" s="163"/>
      <c r="O1214" s="163"/>
      <c r="P1214" s="163"/>
      <c r="Q1214" s="163"/>
      <c r="R1214" s="163"/>
      <c r="S1214" s="163"/>
      <c r="T1214" s="163"/>
      <c r="U1214" s="178" t="s">
        <v>1953</v>
      </c>
      <c r="V1214" s="165"/>
      <c r="W1214" s="451">
        <v>0</v>
      </c>
      <c r="X1214" s="165"/>
      <c r="Y1214" s="165"/>
    </row>
    <row r="1215" spans="1:25" ht="25.5">
      <c r="A1215" s="162"/>
      <c r="B1215" s="163"/>
      <c r="C1215" s="163"/>
      <c r="D1215" s="163"/>
      <c r="E1215" s="163"/>
      <c r="F1215" s="163"/>
      <c r="G1215" s="163"/>
      <c r="H1215" s="163"/>
      <c r="I1215" s="163"/>
      <c r="J1215" s="163"/>
      <c r="K1215" s="163"/>
      <c r="L1215" s="163"/>
      <c r="M1215" s="163"/>
      <c r="N1215" s="163"/>
      <c r="O1215" s="163"/>
      <c r="P1215" s="163"/>
      <c r="Q1215" s="163"/>
      <c r="R1215" s="163"/>
      <c r="S1215" s="163"/>
      <c r="T1215" s="163"/>
      <c r="U1215" s="178" t="s">
        <v>1954</v>
      </c>
      <c r="V1215" s="165"/>
      <c r="W1215" s="451">
        <v>0</v>
      </c>
      <c r="X1215" s="165"/>
      <c r="Y1215" s="165"/>
    </row>
    <row r="1216" spans="1:25" ht="25.5">
      <c r="A1216" s="162"/>
      <c r="B1216" s="163"/>
      <c r="C1216" s="163"/>
      <c r="D1216" s="163"/>
      <c r="E1216" s="163"/>
      <c r="F1216" s="163"/>
      <c r="G1216" s="163"/>
      <c r="H1216" s="163"/>
      <c r="I1216" s="163"/>
      <c r="J1216" s="163"/>
      <c r="K1216" s="163"/>
      <c r="L1216" s="163"/>
      <c r="M1216" s="163"/>
      <c r="N1216" s="163"/>
      <c r="O1216" s="163"/>
      <c r="P1216" s="163"/>
      <c r="Q1216" s="163"/>
      <c r="R1216" s="163"/>
      <c r="S1216" s="163"/>
      <c r="T1216" s="163"/>
      <c r="U1216" s="178" t="s">
        <v>1955</v>
      </c>
      <c r="V1216" s="165"/>
      <c r="W1216" s="451">
        <v>0</v>
      </c>
      <c r="X1216" s="165"/>
      <c r="Y1216" s="165"/>
    </row>
    <row r="1217" spans="1:25" ht="25.5">
      <c r="A1217" s="162"/>
      <c r="B1217" s="163"/>
      <c r="C1217" s="163"/>
      <c r="D1217" s="163"/>
      <c r="E1217" s="163"/>
      <c r="F1217" s="163"/>
      <c r="G1217" s="163"/>
      <c r="H1217" s="163"/>
      <c r="I1217" s="163"/>
      <c r="J1217" s="163"/>
      <c r="K1217" s="163"/>
      <c r="L1217" s="163"/>
      <c r="M1217" s="163"/>
      <c r="N1217" s="163"/>
      <c r="O1217" s="163"/>
      <c r="P1217" s="163"/>
      <c r="Q1217" s="163"/>
      <c r="R1217" s="163"/>
      <c r="S1217" s="163"/>
      <c r="T1217" s="163"/>
      <c r="U1217" s="178" t="s">
        <v>1956</v>
      </c>
      <c r="V1217" s="165"/>
      <c r="W1217" s="451">
        <v>0</v>
      </c>
      <c r="X1217" s="165"/>
      <c r="Y1217" s="165"/>
    </row>
    <row r="1218" spans="1:25" ht="25.5">
      <c r="A1218" s="162"/>
      <c r="B1218" s="163"/>
      <c r="C1218" s="163"/>
      <c r="D1218" s="163"/>
      <c r="E1218" s="163"/>
      <c r="F1218" s="163"/>
      <c r="G1218" s="163"/>
      <c r="H1218" s="163"/>
      <c r="I1218" s="163"/>
      <c r="J1218" s="163"/>
      <c r="K1218" s="163"/>
      <c r="L1218" s="163"/>
      <c r="M1218" s="163"/>
      <c r="N1218" s="163"/>
      <c r="O1218" s="163"/>
      <c r="P1218" s="163"/>
      <c r="Q1218" s="163"/>
      <c r="R1218" s="163"/>
      <c r="S1218" s="163"/>
      <c r="T1218" s="163"/>
      <c r="U1218" s="178" t="s">
        <v>1957</v>
      </c>
      <c r="V1218" s="165"/>
      <c r="W1218" s="451">
        <v>0</v>
      </c>
      <c r="X1218" s="165"/>
      <c r="Y1218" s="165"/>
    </row>
    <row r="1219" spans="1:25" ht="25.5">
      <c r="A1219" s="162"/>
      <c r="B1219" s="163"/>
      <c r="C1219" s="163"/>
      <c r="D1219" s="163"/>
      <c r="E1219" s="163"/>
      <c r="F1219" s="163"/>
      <c r="G1219" s="163"/>
      <c r="H1219" s="163"/>
      <c r="I1219" s="163"/>
      <c r="J1219" s="163"/>
      <c r="K1219" s="163"/>
      <c r="L1219" s="163"/>
      <c r="M1219" s="163"/>
      <c r="N1219" s="163"/>
      <c r="O1219" s="163"/>
      <c r="P1219" s="163"/>
      <c r="Q1219" s="163"/>
      <c r="R1219" s="163"/>
      <c r="S1219" s="163"/>
      <c r="T1219" s="163"/>
      <c r="U1219" s="178" t="s">
        <v>1575</v>
      </c>
      <c r="V1219" s="165"/>
      <c r="W1219" s="451">
        <v>0</v>
      </c>
      <c r="X1219" s="165"/>
      <c r="Y1219" s="165"/>
    </row>
    <row r="1220" spans="1:25" ht="25.5">
      <c r="A1220" s="162"/>
      <c r="B1220" s="163"/>
      <c r="C1220" s="163"/>
      <c r="D1220" s="163"/>
      <c r="E1220" s="163"/>
      <c r="F1220" s="163"/>
      <c r="G1220" s="163"/>
      <c r="H1220" s="163"/>
      <c r="I1220" s="163"/>
      <c r="J1220" s="163"/>
      <c r="K1220" s="163"/>
      <c r="L1220" s="163"/>
      <c r="M1220" s="163"/>
      <c r="N1220" s="163"/>
      <c r="O1220" s="163"/>
      <c r="P1220" s="163"/>
      <c r="Q1220" s="163"/>
      <c r="R1220" s="163"/>
      <c r="S1220" s="163"/>
      <c r="T1220" s="163"/>
      <c r="U1220" s="178" t="s">
        <v>1576</v>
      </c>
      <c r="V1220" s="165"/>
      <c r="W1220" s="451">
        <v>0</v>
      </c>
      <c r="X1220" s="165"/>
      <c r="Y1220" s="165"/>
    </row>
    <row r="1221" spans="1:25" ht="25.5">
      <c r="A1221" s="162"/>
      <c r="B1221" s="163"/>
      <c r="C1221" s="163"/>
      <c r="D1221" s="163"/>
      <c r="E1221" s="163"/>
      <c r="F1221" s="163"/>
      <c r="G1221" s="163"/>
      <c r="H1221" s="163"/>
      <c r="I1221" s="163"/>
      <c r="J1221" s="163"/>
      <c r="K1221" s="163"/>
      <c r="L1221" s="163"/>
      <c r="M1221" s="163"/>
      <c r="N1221" s="163"/>
      <c r="O1221" s="163"/>
      <c r="P1221" s="163"/>
      <c r="Q1221" s="163"/>
      <c r="R1221" s="163"/>
      <c r="S1221" s="163"/>
      <c r="T1221" s="163"/>
      <c r="U1221" s="178" t="s">
        <v>1577</v>
      </c>
      <c r="V1221" s="165"/>
      <c r="W1221" s="451">
        <v>0</v>
      </c>
      <c r="X1221" s="165"/>
      <c r="Y1221" s="165"/>
    </row>
    <row r="1222" spans="1:25" ht="25.5">
      <c r="A1222" s="162"/>
      <c r="B1222" s="163"/>
      <c r="C1222" s="163"/>
      <c r="D1222" s="163"/>
      <c r="E1222" s="163"/>
      <c r="F1222" s="163"/>
      <c r="G1222" s="163"/>
      <c r="H1222" s="163"/>
      <c r="I1222" s="163"/>
      <c r="J1222" s="163"/>
      <c r="K1222" s="163"/>
      <c r="L1222" s="163"/>
      <c r="M1222" s="163"/>
      <c r="N1222" s="163"/>
      <c r="O1222" s="163"/>
      <c r="P1222" s="163"/>
      <c r="Q1222" s="163"/>
      <c r="R1222" s="163"/>
      <c r="S1222" s="163"/>
      <c r="T1222" s="163"/>
      <c r="U1222" s="178" t="s">
        <v>1958</v>
      </c>
      <c r="V1222" s="165"/>
      <c r="W1222" s="451">
        <v>39095200</v>
      </c>
      <c r="X1222" s="165"/>
      <c r="Y1222" s="165"/>
    </row>
    <row r="1223" spans="1:25" ht="38.25">
      <c r="A1223" s="162"/>
      <c r="B1223" s="163"/>
      <c r="C1223" s="163"/>
      <c r="D1223" s="163"/>
      <c r="E1223" s="163"/>
      <c r="F1223" s="163"/>
      <c r="G1223" s="163"/>
      <c r="H1223" s="163"/>
      <c r="I1223" s="163"/>
      <c r="J1223" s="163"/>
      <c r="K1223" s="163"/>
      <c r="L1223" s="163"/>
      <c r="M1223" s="163"/>
      <c r="N1223" s="163"/>
      <c r="O1223" s="163"/>
      <c r="P1223" s="163"/>
      <c r="Q1223" s="163"/>
      <c r="R1223" s="163"/>
      <c r="S1223" s="163"/>
      <c r="T1223" s="163"/>
      <c r="U1223" s="178" t="s">
        <v>1959</v>
      </c>
      <c r="V1223" s="165"/>
      <c r="W1223" s="451">
        <v>1300000000</v>
      </c>
      <c r="X1223" s="366">
        <v>2543980000</v>
      </c>
      <c r="Y1223" s="366">
        <v>2000000000</v>
      </c>
    </row>
    <row r="1224" spans="1:25" ht="25.5">
      <c r="A1224" s="162"/>
      <c r="B1224" s="163"/>
      <c r="C1224" s="163"/>
      <c r="D1224" s="163"/>
      <c r="E1224" s="163"/>
      <c r="F1224" s="163"/>
      <c r="G1224" s="163"/>
      <c r="H1224" s="163"/>
      <c r="I1224" s="163"/>
      <c r="J1224" s="163"/>
      <c r="K1224" s="163"/>
      <c r="L1224" s="163"/>
      <c r="M1224" s="163"/>
      <c r="N1224" s="163"/>
      <c r="O1224" s="163"/>
      <c r="P1224" s="163"/>
      <c r="Q1224" s="163"/>
      <c r="R1224" s="163"/>
      <c r="S1224" s="163"/>
      <c r="T1224" s="163"/>
      <c r="U1224" s="178" t="s">
        <v>1960</v>
      </c>
      <c r="V1224" s="165"/>
      <c r="W1224" s="451">
        <v>1711390436.6900001</v>
      </c>
      <c r="X1224" s="366">
        <v>2477800000</v>
      </c>
      <c r="Y1224" s="366">
        <v>1000000000</v>
      </c>
    </row>
    <row r="1225" spans="1:25" ht="25.5">
      <c r="A1225" s="162"/>
      <c r="B1225" s="163"/>
      <c r="C1225" s="163"/>
      <c r="D1225" s="163"/>
      <c r="E1225" s="163"/>
      <c r="F1225" s="163"/>
      <c r="G1225" s="163"/>
      <c r="H1225" s="163"/>
      <c r="I1225" s="163"/>
      <c r="J1225" s="163"/>
      <c r="K1225" s="163"/>
      <c r="L1225" s="163"/>
      <c r="M1225" s="163"/>
      <c r="N1225" s="163"/>
      <c r="O1225" s="163"/>
      <c r="P1225" s="163"/>
      <c r="Q1225" s="163"/>
      <c r="R1225" s="163"/>
      <c r="S1225" s="163"/>
      <c r="T1225" s="163"/>
      <c r="U1225" s="178" t="s">
        <v>1961</v>
      </c>
      <c r="V1225" s="165"/>
      <c r="W1225" s="451">
        <v>251000000</v>
      </c>
      <c r="X1225" s="366">
        <v>40000000</v>
      </c>
      <c r="Y1225" s="366">
        <v>120000000</v>
      </c>
    </row>
    <row r="1226" spans="1:25" ht="25.5">
      <c r="A1226" s="162"/>
      <c r="B1226" s="163"/>
      <c r="C1226" s="163"/>
      <c r="D1226" s="163"/>
      <c r="E1226" s="163"/>
      <c r="F1226" s="163"/>
      <c r="G1226" s="163"/>
      <c r="H1226" s="163"/>
      <c r="I1226" s="163"/>
      <c r="J1226" s="163"/>
      <c r="K1226" s="163"/>
      <c r="L1226" s="163"/>
      <c r="M1226" s="163"/>
      <c r="N1226" s="163"/>
      <c r="O1226" s="163"/>
      <c r="P1226" s="163"/>
      <c r="Q1226" s="163"/>
      <c r="R1226" s="163"/>
      <c r="S1226" s="163"/>
      <c r="T1226" s="163"/>
      <c r="U1226" s="178" t="s">
        <v>1578</v>
      </c>
      <c r="V1226" s="165"/>
      <c r="W1226" s="451">
        <v>80000000</v>
      </c>
      <c r="X1226" s="165"/>
      <c r="Y1226" s="165"/>
    </row>
    <row r="1227" spans="1:25" ht="25.5">
      <c r="A1227" s="162"/>
      <c r="B1227" s="163"/>
      <c r="C1227" s="163"/>
      <c r="D1227" s="163"/>
      <c r="E1227" s="163"/>
      <c r="F1227" s="163"/>
      <c r="G1227" s="163"/>
      <c r="H1227" s="163"/>
      <c r="I1227" s="163"/>
      <c r="J1227" s="163"/>
      <c r="K1227" s="163"/>
      <c r="L1227" s="163"/>
      <c r="M1227" s="163"/>
      <c r="N1227" s="163"/>
      <c r="O1227" s="163"/>
      <c r="P1227" s="163"/>
      <c r="Q1227" s="163"/>
      <c r="R1227" s="163"/>
      <c r="S1227" s="163"/>
      <c r="T1227" s="163"/>
      <c r="U1227" s="178" t="s">
        <v>1579</v>
      </c>
      <c r="V1227" s="165"/>
      <c r="W1227" s="451">
        <v>50000000</v>
      </c>
      <c r="X1227" s="165"/>
      <c r="Y1227" s="165"/>
    </row>
    <row r="1228" spans="1:25">
      <c r="A1228" s="162"/>
      <c r="B1228" s="163"/>
      <c r="C1228" s="163"/>
      <c r="D1228" s="163"/>
      <c r="E1228" s="163"/>
      <c r="F1228" s="163"/>
      <c r="G1228" s="163"/>
      <c r="H1228" s="163"/>
      <c r="I1228" s="163"/>
      <c r="J1228" s="163"/>
      <c r="K1228" s="163"/>
      <c r="L1228" s="163"/>
      <c r="M1228" s="163"/>
      <c r="N1228" s="163"/>
      <c r="O1228" s="163"/>
      <c r="P1228" s="163"/>
      <c r="Q1228" s="163"/>
      <c r="R1228" s="163"/>
      <c r="S1228" s="163"/>
      <c r="T1228" s="163"/>
      <c r="U1228" s="178" t="s">
        <v>1580</v>
      </c>
      <c r="V1228" s="165"/>
      <c r="W1228" s="451">
        <v>639726142.79999995</v>
      </c>
      <c r="X1228" s="165"/>
      <c r="Y1228" s="165"/>
    </row>
    <row r="1229" spans="1:25">
      <c r="A1229" s="162"/>
      <c r="B1229" s="163"/>
      <c r="C1229" s="163"/>
      <c r="D1229" s="163"/>
      <c r="E1229" s="163"/>
      <c r="F1229" s="163"/>
      <c r="G1229" s="163"/>
      <c r="H1229" s="163"/>
      <c r="I1229" s="163"/>
      <c r="J1229" s="163"/>
      <c r="K1229" s="163"/>
      <c r="L1229" s="163"/>
      <c r="M1229" s="163"/>
      <c r="N1229" s="163"/>
      <c r="O1229" s="163"/>
      <c r="P1229" s="163"/>
      <c r="Q1229" s="163"/>
      <c r="R1229" s="163"/>
      <c r="S1229" s="163"/>
      <c r="T1229" s="163"/>
      <c r="U1229" s="178" t="s">
        <v>2493</v>
      </c>
      <c r="V1229" s="165"/>
      <c r="W1229" s="451">
        <v>595110651</v>
      </c>
      <c r="X1229" s="165"/>
      <c r="Y1229" s="165"/>
    </row>
    <row r="1230" spans="1:25" ht="25.5">
      <c r="A1230" s="162"/>
      <c r="B1230" s="163"/>
      <c r="C1230" s="163"/>
      <c r="D1230" s="163"/>
      <c r="E1230" s="163"/>
      <c r="F1230" s="163"/>
      <c r="G1230" s="163"/>
      <c r="H1230" s="163"/>
      <c r="I1230" s="163"/>
      <c r="J1230" s="163"/>
      <c r="K1230" s="163"/>
      <c r="L1230" s="163"/>
      <c r="M1230" s="163"/>
      <c r="N1230" s="163"/>
      <c r="O1230" s="163"/>
      <c r="P1230" s="163"/>
      <c r="Q1230" s="163"/>
      <c r="R1230" s="163"/>
      <c r="S1230" s="163"/>
      <c r="T1230" s="163"/>
      <c r="U1230" s="178" t="s">
        <v>2494</v>
      </c>
      <c r="V1230" s="165"/>
      <c r="W1230" s="451">
        <v>500000000</v>
      </c>
      <c r="X1230" s="165"/>
      <c r="Y1230" s="165"/>
    </row>
    <row r="1231" spans="1:25">
      <c r="A1231" s="162"/>
      <c r="B1231" s="163"/>
      <c r="C1231" s="163"/>
      <c r="D1231" s="163"/>
      <c r="E1231" s="163"/>
      <c r="F1231" s="163"/>
      <c r="G1231" s="163"/>
      <c r="H1231" s="163"/>
      <c r="I1231" s="163"/>
      <c r="J1231" s="163"/>
      <c r="K1231" s="163"/>
      <c r="L1231" s="163"/>
      <c r="M1231" s="163"/>
      <c r="N1231" s="163"/>
      <c r="O1231" s="163"/>
      <c r="P1231" s="163"/>
      <c r="Q1231" s="163"/>
      <c r="R1231" s="163"/>
      <c r="S1231" s="163"/>
      <c r="T1231" s="163"/>
      <c r="U1231" s="178" t="s">
        <v>1582</v>
      </c>
      <c r="V1231" s="165"/>
      <c r="W1231" s="451">
        <v>0</v>
      </c>
      <c r="X1231" s="165"/>
      <c r="Y1231" s="165"/>
    </row>
    <row r="1232" spans="1:25">
      <c r="A1232" s="162"/>
      <c r="B1232" s="163"/>
      <c r="C1232" s="163"/>
      <c r="D1232" s="163"/>
      <c r="E1232" s="163"/>
      <c r="F1232" s="163"/>
      <c r="G1232" s="163"/>
      <c r="H1232" s="163"/>
      <c r="I1232" s="163"/>
      <c r="J1232" s="163"/>
      <c r="K1232" s="163"/>
      <c r="L1232" s="163"/>
      <c r="M1232" s="163"/>
      <c r="N1232" s="163"/>
      <c r="O1232" s="163"/>
      <c r="P1232" s="163"/>
      <c r="Q1232" s="163"/>
      <c r="R1232" s="163"/>
      <c r="S1232" s="163"/>
      <c r="T1232" s="163"/>
      <c r="U1232" s="178" t="s">
        <v>1583</v>
      </c>
      <c r="V1232" s="165"/>
      <c r="W1232" s="451">
        <v>50000000</v>
      </c>
      <c r="X1232" s="165"/>
      <c r="Y1232" s="165"/>
    </row>
    <row r="1233" spans="1:25" ht="25.5">
      <c r="A1233" s="162"/>
      <c r="B1233" s="163"/>
      <c r="C1233" s="163"/>
      <c r="D1233" s="163"/>
      <c r="E1233" s="163"/>
      <c r="F1233" s="163"/>
      <c r="G1233" s="163"/>
      <c r="H1233" s="163"/>
      <c r="I1233" s="163"/>
      <c r="J1233" s="163"/>
      <c r="K1233" s="163"/>
      <c r="L1233" s="163"/>
      <c r="M1233" s="163"/>
      <c r="N1233" s="163"/>
      <c r="O1233" s="163"/>
      <c r="P1233" s="163"/>
      <c r="Q1233" s="163"/>
      <c r="R1233" s="163"/>
      <c r="S1233" s="163"/>
      <c r="T1233" s="163"/>
      <c r="U1233" s="178" t="s">
        <v>1962</v>
      </c>
      <c r="V1233" s="165"/>
      <c r="W1233" s="451">
        <v>0</v>
      </c>
      <c r="X1233" s="165"/>
      <c r="Y1233" s="165"/>
    </row>
    <row r="1234" spans="1:25" ht="25.5">
      <c r="A1234" s="162"/>
      <c r="B1234" s="163"/>
      <c r="C1234" s="163"/>
      <c r="D1234" s="163"/>
      <c r="E1234" s="163"/>
      <c r="F1234" s="163"/>
      <c r="G1234" s="163"/>
      <c r="H1234" s="163"/>
      <c r="I1234" s="163"/>
      <c r="J1234" s="163"/>
      <c r="K1234" s="163"/>
      <c r="L1234" s="163"/>
      <c r="M1234" s="163"/>
      <c r="N1234" s="163"/>
      <c r="O1234" s="163"/>
      <c r="P1234" s="163"/>
      <c r="Q1234" s="163"/>
      <c r="R1234" s="163"/>
      <c r="S1234" s="163"/>
      <c r="T1234" s="163"/>
      <c r="U1234" s="178" t="s">
        <v>1963</v>
      </c>
      <c r="V1234" s="165"/>
      <c r="W1234" s="451">
        <v>0</v>
      </c>
      <c r="X1234" s="165"/>
      <c r="Y1234" s="165"/>
    </row>
    <row r="1235" spans="1:25" ht="25.5">
      <c r="A1235" s="162"/>
      <c r="B1235" s="163"/>
      <c r="C1235" s="163"/>
      <c r="D1235" s="163"/>
      <c r="E1235" s="163"/>
      <c r="F1235" s="163"/>
      <c r="G1235" s="163"/>
      <c r="H1235" s="163"/>
      <c r="I1235" s="163"/>
      <c r="J1235" s="163"/>
      <c r="K1235" s="163"/>
      <c r="L1235" s="163"/>
      <c r="M1235" s="163"/>
      <c r="N1235" s="163"/>
      <c r="O1235" s="163"/>
      <c r="P1235" s="163"/>
      <c r="Q1235" s="163"/>
      <c r="R1235" s="163"/>
      <c r="S1235" s="163"/>
      <c r="T1235" s="163"/>
      <c r="U1235" s="178" t="s">
        <v>1964</v>
      </c>
      <c r="V1235" s="165"/>
      <c r="W1235" s="451">
        <v>0</v>
      </c>
      <c r="X1235" s="165"/>
      <c r="Y1235" s="165"/>
    </row>
    <row r="1236" spans="1:25" ht="25.5">
      <c r="A1236" s="162"/>
      <c r="B1236" s="163"/>
      <c r="C1236" s="163"/>
      <c r="D1236" s="163"/>
      <c r="E1236" s="163"/>
      <c r="F1236" s="163"/>
      <c r="G1236" s="163"/>
      <c r="H1236" s="163"/>
      <c r="I1236" s="163"/>
      <c r="J1236" s="163"/>
      <c r="K1236" s="163"/>
      <c r="L1236" s="163"/>
      <c r="M1236" s="163"/>
      <c r="N1236" s="163"/>
      <c r="O1236" s="163"/>
      <c r="P1236" s="163"/>
      <c r="Q1236" s="163"/>
      <c r="R1236" s="163"/>
      <c r="S1236" s="163"/>
      <c r="T1236" s="163"/>
      <c r="U1236" s="178" t="s">
        <v>1965</v>
      </c>
      <c r="V1236" s="165"/>
      <c r="W1236" s="451">
        <v>0</v>
      </c>
      <c r="X1236" s="165"/>
      <c r="Y1236" s="165"/>
    </row>
    <row r="1237" spans="1:25" ht="25.5">
      <c r="A1237" s="162"/>
      <c r="B1237" s="163"/>
      <c r="C1237" s="163"/>
      <c r="D1237" s="163"/>
      <c r="E1237" s="163"/>
      <c r="F1237" s="163"/>
      <c r="G1237" s="163"/>
      <c r="H1237" s="163"/>
      <c r="I1237" s="163"/>
      <c r="J1237" s="163"/>
      <c r="K1237" s="163"/>
      <c r="L1237" s="163"/>
      <c r="M1237" s="163"/>
      <c r="N1237" s="163"/>
      <c r="O1237" s="163"/>
      <c r="P1237" s="163"/>
      <c r="Q1237" s="163"/>
      <c r="R1237" s="163"/>
      <c r="S1237" s="163"/>
      <c r="T1237" s="163"/>
      <c r="U1237" s="178" t="s">
        <v>1966</v>
      </c>
      <c r="V1237" s="165"/>
      <c r="W1237" s="451">
        <v>0</v>
      </c>
      <c r="X1237" s="165"/>
      <c r="Y1237" s="165"/>
    </row>
    <row r="1238" spans="1:25" ht="25.5">
      <c r="A1238" s="162"/>
      <c r="B1238" s="163"/>
      <c r="C1238" s="163"/>
      <c r="D1238" s="163"/>
      <c r="E1238" s="163"/>
      <c r="F1238" s="163"/>
      <c r="G1238" s="163"/>
      <c r="H1238" s="163"/>
      <c r="I1238" s="163"/>
      <c r="J1238" s="163"/>
      <c r="K1238" s="163"/>
      <c r="L1238" s="163"/>
      <c r="M1238" s="163"/>
      <c r="N1238" s="163"/>
      <c r="O1238" s="163"/>
      <c r="P1238" s="163"/>
      <c r="Q1238" s="163"/>
      <c r="R1238" s="163"/>
      <c r="S1238" s="163"/>
      <c r="T1238" s="163"/>
      <c r="U1238" s="178" t="s">
        <v>1967</v>
      </c>
      <c r="V1238" s="165"/>
      <c r="W1238" s="451">
        <v>0</v>
      </c>
      <c r="X1238" s="165"/>
      <c r="Y1238" s="165"/>
    </row>
    <row r="1239" spans="1:25" ht="25.5">
      <c r="A1239" s="162"/>
      <c r="B1239" s="163"/>
      <c r="C1239" s="163"/>
      <c r="D1239" s="163"/>
      <c r="E1239" s="163"/>
      <c r="F1239" s="163"/>
      <c r="G1239" s="163"/>
      <c r="H1239" s="163"/>
      <c r="I1239" s="163"/>
      <c r="J1239" s="163"/>
      <c r="K1239" s="163"/>
      <c r="L1239" s="163"/>
      <c r="M1239" s="163"/>
      <c r="N1239" s="163"/>
      <c r="O1239" s="163"/>
      <c r="P1239" s="163"/>
      <c r="Q1239" s="163"/>
      <c r="R1239" s="163"/>
      <c r="S1239" s="163"/>
      <c r="T1239" s="163"/>
      <c r="U1239" s="178" t="s">
        <v>1584</v>
      </c>
      <c r="V1239" s="165"/>
      <c r="W1239" s="451">
        <v>50000000</v>
      </c>
      <c r="X1239" s="366">
        <v>136580000</v>
      </c>
      <c r="Y1239" s="366">
        <v>75000000</v>
      </c>
    </row>
    <row r="1240" spans="1:25" ht="38.25">
      <c r="A1240" s="162"/>
      <c r="B1240" s="163"/>
      <c r="C1240" s="163"/>
      <c r="D1240" s="163"/>
      <c r="E1240" s="163"/>
      <c r="F1240" s="163"/>
      <c r="G1240" s="163"/>
      <c r="H1240" s="163"/>
      <c r="I1240" s="163"/>
      <c r="J1240" s="163"/>
      <c r="K1240" s="163"/>
      <c r="L1240" s="163"/>
      <c r="M1240" s="163"/>
      <c r="N1240" s="163"/>
      <c r="O1240" s="163"/>
      <c r="P1240" s="163"/>
      <c r="Q1240" s="163"/>
      <c r="R1240" s="163"/>
      <c r="S1240" s="163"/>
      <c r="T1240" s="163"/>
      <c r="U1240" s="178" t="s">
        <v>1968</v>
      </c>
      <c r="V1240" s="165"/>
      <c r="W1240" s="451">
        <v>0</v>
      </c>
      <c r="X1240" s="165"/>
      <c r="Y1240" s="165"/>
    </row>
    <row r="1241" spans="1:25">
      <c r="A1241" s="162"/>
      <c r="B1241" s="163"/>
      <c r="C1241" s="163"/>
      <c r="D1241" s="163"/>
      <c r="E1241" s="163"/>
      <c r="F1241" s="163"/>
      <c r="G1241" s="163"/>
      <c r="H1241" s="163"/>
      <c r="I1241" s="163"/>
      <c r="J1241" s="163"/>
      <c r="K1241" s="163"/>
      <c r="L1241" s="163"/>
      <c r="M1241" s="163"/>
      <c r="N1241" s="163"/>
      <c r="O1241" s="163"/>
      <c r="P1241" s="163"/>
      <c r="Q1241" s="163"/>
      <c r="R1241" s="163"/>
      <c r="S1241" s="163"/>
      <c r="T1241" s="163"/>
      <c r="U1241" s="178" t="s">
        <v>1585</v>
      </c>
      <c r="V1241" s="165"/>
      <c r="W1241" s="451">
        <v>60495725.240000002</v>
      </c>
      <c r="X1241" s="165"/>
      <c r="Y1241" s="165"/>
    </row>
    <row r="1242" spans="1:25" ht="25.5">
      <c r="A1242" s="162"/>
      <c r="B1242" s="180"/>
      <c r="C1242" s="179"/>
      <c r="D1242" s="179"/>
      <c r="E1242" s="179"/>
      <c r="F1242" s="179"/>
      <c r="G1242" s="179"/>
      <c r="H1242" s="179"/>
      <c r="I1242" s="179"/>
      <c r="J1242" s="179"/>
      <c r="K1242" s="179"/>
      <c r="L1242" s="179"/>
      <c r="M1242" s="179"/>
      <c r="N1242" s="179"/>
      <c r="O1242" s="179"/>
      <c r="P1242" s="179"/>
      <c r="Q1242" s="179"/>
      <c r="R1242" s="179"/>
      <c r="S1242" s="180"/>
      <c r="T1242" s="179"/>
      <c r="U1242" s="166" t="s">
        <v>1586</v>
      </c>
      <c r="V1242" s="165">
        <v>515482747.70499998</v>
      </c>
      <c r="W1242" s="451">
        <v>0</v>
      </c>
      <c r="X1242" s="163"/>
      <c r="Y1242" s="163"/>
    </row>
    <row r="1243" spans="1:25" ht="25.5">
      <c r="A1243" s="162"/>
      <c r="B1243" s="180"/>
      <c r="C1243" s="179"/>
      <c r="D1243" s="179"/>
      <c r="E1243" s="179"/>
      <c r="F1243" s="179"/>
      <c r="G1243" s="179"/>
      <c r="H1243" s="179"/>
      <c r="I1243" s="179"/>
      <c r="J1243" s="179"/>
      <c r="K1243" s="179"/>
      <c r="L1243" s="179"/>
      <c r="M1243" s="179"/>
      <c r="N1243" s="179"/>
      <c r="O1243" s="179"/>
      <c r="P1243" s="179"/>
      <c r="Q1243" s="179"/>
      <c r="R1243" s="179"/>
      <c r="S1243" s="180"/>
      <c r="T1243" s="179"/>
      <c r="U1243" s="166" t="s">
        <v>1587</v>
      </c>
      <c r="V1243" s="165">
        <v>144912460.47499999</v>
      </c>
      <c r="W1243" s="451">
        <v>50000000</v>
      </c>
      <c r="X1243" s="163"/>
      <c r="Y1243" s="163"/>
    </row>
    <row r="1244" spans="1:25" ht="25.5">
      <c r="A1244" s="162"/>
      <c r="B1244" s="180"/>
      <c r="C1244" s="179"/>
      <c r="D1244" s="179"/>
      <c r="E1244" s="179"/>
      <c r="F1244" s="179"/>
      <c r="G1244" s="179"/>
      <c r="H1244" s="179"/>
      <c r="I1244" s="179"/>
      <c r="J1244" s="179"/>
      <c r="K1244" s="179"/>
      <c r="L1244" s="179"/>
      <c r="M1244" s="179"/>
      <c r="N1244" s="179"/>
      <c r="O1244" s="179"/>
      <c r="P1244" s="179"/>
      <c r="Q1244" s="179"/>
      <c r="R1244" s="179"/>
      <c r="S1244" s="180"/>
      <c r="T1244" s="179"/>
      <c r="U1244" s="166" t="s">
        <v>1588</v>
      </c>
      <c r="V1244" s="165">
        <v>880813767.14499998</v>
      </c>
      <c r="W1244" s="451">
        <v>0</v>
      </c>
      <c r="X1244" s="163"/>
      <c r="Y1244" s="163"/>
    </row>
    <row r="1245" spans="1:25">
      <c r="A1245" s="162"/>
      <c r="B1245" s="180"/>
      <c r="C1245" s="179"/>
      <c r="D1245" s="179"/>
      <c r="E1245" s="179"/>
      <c r="F1245" s="179"/>
      <c r="G1245" s="179"/>
      <c r="H1245" s="179"/>
      <c r="I1245" s="179"/>
      <c r="J1245" s="179"/>
      <c r="K1245" s="179"/>
      <c r="L1245" s="179"/>
      <c r="M1245" s="179"/>
      <c r="N1245" s="179"/>
      <c r="O1245" s="179"/>
      <c r="P1245" s="179"/>
      <c r="Q1245" s="179"/>
      <c r="R1245" s="179"/>
      <c r="S1245" s="180"/>
      <c r="T1245" s="179"/>
      <c r="U1245" s="166" t="s">
        <v>2495</v>
      </c>
      <c r="V1245" s="165">
        <v>2088661881.145</v>
      </c>
      <c r="W1245" s="451">
        <v>0</v>
      </c>
      <c r="X1245" s="163"/>
      <c r="Y1245" s="163"/>
    </row>
    <row r="1246" spans="1:25" ht="25.5">
      <c r="A1246" s="162"/>
      <c r="B1246" s="180"/>
      <c r="C1246" s="179"/>
      <c r="D1246" s="179"/>
      <c r="E1246" s="179"/>
      <c r="F1246" s="179"/>
      <c r="G1246" s="179"/>
      <c r="H1246" s="179"/>
      <c r="I1246" s="179"/>
      <c r="J1246" s="179"/>
      <c r="K1246" s="179"/>
      <c r="L1246" s="179"/>
      <c r="M1246" s="179"/>
      <c r="N1246" s="179"/>
      <c r="O1246" s="179"/>
      <c r="P1246" s="179"/>
      <c r="Q1246" s="179"/>
      <c r="R1246" s="179"/>
      <c r="S1246" s="180"/>
      <c r="T1246" s="179"/>
      <c r="U1246" s="170" t="s">
        <v>1589</v>
      </c>
      <c r="V1246" s="165">
        <v>51039639</v>
      </c>
      <c r="W1246" s="451">
        <v>0</v>
      </c>
      <c r="X1246" s="163"/>
      <c r="Y1246" s="163"/>
    </row>
    <row r="1247" spans="1:25" ht="25.5">
      <c r="A1247" s="162"/>
      <c r="B1247" s="180"/>
      <c r="C1247" s="179"/>
      <c r="D1247" s="179"/>
      <c r="E1247" s="179"/>
      <c r="F1247" s="179"/>
      <c r="G1247" s="179"/>
      <c r="H1247" s="179"/>
      <c r="I1247" s="179"/>
      <c r="J1247" s="179"/>
      <c r="K1247" s="179"/>
      <c r="L1247" s="179"/>
      <c r="M1247" s="179"/>
      <c r="N1247" s="179"/>
      <c r="O1247" s="179"/>
      <c r="P1247" s="179"/>
      <c r="Q1247" s="179"/>
      <c r="R1247" s="179"/>
      <c r="S1247" s="180"/>
      <c r="T1247" s="179"/>
      <c r="U1247" s="170" t="s">
        <v>1590</v>
      </c>
      <c r="V1247" s="165">
        <v>240280250</v>
      </c>
      <c r="W1247" s="451">
        <v>0</v>
      </c>
      <c r="X1247" s="163"/>
      <c r="Y1247" s="163"/>
    </row>
    <row r="1248" spans="1:25" ht="25.5">
      <c r="A1248" s="162"/>
      <c r="B1248" s="180"/>
      <c r="C1248" s="179"/>
      <c r="D1248" s="179"/>
      <c r="E1248" s="179"/>
      <c r="F1248" s="179"/>
      <c r="G1248" s="179"/>
      <c r="H1248" s="179"/>
      <c r="I1248" s="179"/>
      <c r="J1248" s="179"/>
      <c r="K1248" s="179"/>
      <c r="L1248" s="179"/>
      <c r="M1248" s="179"/>
      <c r="N1248" s="179"/>
      <c r="O1248" s="179"/>
      <c r="P1248" s="179"/>
      <c r="Q1248" s="179"/>
      <c r="R1248" s="179"/>
      <c r="S1248" s="180"/>
      <c r="T1248" s="179"/>
      <c r="U1248" s="170" t="s">
        <v>1591</v>
      </c>
      <c r="V1248" s="165">
        <v>507400627.67749995</v>
      </c>
      <c r="W1248" s="451">
        <v>0</v>
      </c>
      <c r="X1248" s="163"/>
      <c r="Y1248" s="163"/>
    </row>
    <row r="1249" spans="1:25" ht="25.5">
      <c r="A1249" s="162"/>
      <c r="B1249" s="180"/>
      <c r="C1249" s="179"/>
      <c r="D1249" s="179"/>
      <c r="E1249" s="179"/>
      <c r="F1249" s="179"/>
      <c r="G1249" s="179"/>
      <c r="H1249" s="179"/>
      <c r="I1249" s="179"/>
      <c r="J1249" s="179"/>
      <c r="K1249" s="179"/>
      <c r="L1249" s="179"/>
      <c r="M1249" s="179"/>
      <c r="N1249" s="179"/>
      <c r="O1249" s="179"/>
      <c r="P1249" s="179"/>
      <c r="Q1249" s="179"/>
      <c r="R1249" s="179"/>
      <c r="S1249" s="180"/>
      <c r="T1249" s="179"/>
      <c r="U1249" s="170" t="s">
        <v>1592</v>
      </c>
      <c r="V1249" s="165">
        <v>736531501.19500005</v>
      </c>
      <c r="W1249" s="451">
        <v>0</v>
      </c>
      <c r="X1249" s="163"/>
      <c r="Y1249" s="163"/>
    </row>
    <row r="1250" spans="1:25" ht="25.5">
      <c r="A1250" s="162"/>
      <c r="B1250" s="180"/>
      <c r="C1250" s="179"/>
      <c r="D1250" s="179"/>
      <c r="E1250" s="179"/>
      <c r="F1250" s="179"/>
      <c r="G1250" s="179"/>
      <c r="H1250" s="179"/>
      <c r="I1250" s="179"/>
      <c r="J1250" s="179"/>
      <c r="K1250" s="179"/>
      <c r="L1250" s="179"/>
      <c r="M1250" s="179"/>
      <c r="N1250" s="179"/>
      <c r="O1250" s="179"/>
      <c r="P1250" s="179"/>
      <c r="Q1250" s="179"/>
      <c r="R1250" s="179"/>
      <c r="S1250" s="180"/>
      <c r="T1250" s="179"/>
      <c r="U1250" s="170" t="s">
        <v>1593</v>
      </c>
      <c r="V1250" s="165">
        <v>371468013.56999993</v>
      </c>
      <c r="W1250" s="451">
        <v>0</v>
      </c>
      <c r="X1250" s="163"/>
      <c r="Y1250" s="163"/>
    </row>
    <row r="1251" spans="1:25" ht="25.5">
      <c r="A1251" s="162"/>
      <c r="B1251" s="180"/>
      <c r="C1251" s="179"/>
      <c r="D1251" s="179"/>
      <c r="E1251" s="179"/>
      <c r="F1251" s="179"/>
      <c r="G1251" s="179"/>
      <c r="H1251" s="179"/>
      <c r="I1251" s="179"/>
      <c r="J1251" s="179"/>
      <c r="K1251" s="179"/>
      <c r="L1251" s="179"/>
      <c r="M1251" s="179"/>
      <c r="N1251" s="179"/>
      <c r="O1251" s="179"/>
      <c r="P1251" s="179"/>
      <c r="Q1251" s="179"/>
      <c r="R1251" s="179"/>
      <c r="S1251" s="180"/>
      <c r="T1251" s="179"/>
      <c r="U1251" s="170" t="s">
        <v>1594</v>
      </c>
      <c r="V1251" s="165">
        <v>900000000</v>
      </c>
      <c r="W1251" s="451">
        <v>1600000000</v>
      </c>
      <c r="X1251" s="163"/>
      <c r="Y1251" s="163"/>
    </row>
    <row r="1252" spans="1:25">
      <c r="A1252" s="162"/>
      <c r="B1252" s="180"/>
      <c r="C1252" s="179"/>
      <c r="D1252" s="179"/>
      <c r="E1252" s="179"/>
      <c r="F1252" s="179"/>
      <c r="G1252" s="179"/>
      <c r="H1252" s="179"/>
      <c r="I1252" s="179"/>
      <c r="J1252" s="179"/>
      <c r="K1252" s="179"/>
      <c r="L1252" s="179"/>
      <c r="M1252" s="179"/>
      <c r="N1252" s="179"/>
      <c r="O1252" s="179"/>
      <c r="P1252" s="179"/>
      <c r="Q1252" s="179"/>
      <c r="R1252" s="179"/>
      <c r="S1252" s="180"/>
      <c r="T1252" s="179"/>
      <c r="U1252" s="170" t="s">
        <v>1595</v>
      </c>
      <c r="V1252" s="165">
        <v>200000000</v>
      </c>
      <c r="W1252" s="451">
        <v>0</v>
      </c>
      <c r="X1252" s="163"/>
      <c r="Y1252" s="163"/>
    </row>
    <row r="1253" spans="1:25" ht="38.25">
      <c r="A1253" s="162"/>
      <c r="B1253" s="180"/>
      <c r="C1253" s="179"/>
      <c r="D1253" s="179"/>
      <c r="E1253" s="179"/>
      <c r="F1253" s="179"/>
      <c r="G1253" s="179"/>
      <c r="H1253" s="179"/>
      <c r="I1253" s="179"/>
      <c r="J1253" s="179"/>
      <c r="K1253" s="179"/>
      <c r="L1253" s="179"/>
      <c r="M1253" s="179"/>
      <c r="N1253" s="179"/>
      <c r="O1253" s="179"/>
      <c r="P1253" s="179"/>
      <c r="Q1253" s="179"/>
      <c r="R1253" s="179"/>
      <c r="S1253" s="180"/>
      <c r="T1253" s="179"/>
      <c r="U1253" s="170" t="s">
        <v>2109</v>
      </c>
      <c r="V1253" s="165"/>
      <c r="W1253" s="451">
        <v>0</v>
      </c>
      <c r="X1253" s="366">
        <v>757740000</v>
      </c>
      <c r="Y1253" s="366">
        <v>120000000</v>
      </c>
    </row>
    <row r="1254" spans="1:25" ht="25.5">
      <c r="A1254" s="162"/>
      <c r="B1254" s="180"/>
      <c r="C1254" s="179"/>
      <c r="D1254" s="179"/>
      <c r="E1254" s="179"/>
      <c r="F1254" s="179"/>
      <c r="G1254" s="179"/>
      <c r="H1254" s="179"/>
      <c r="I1254" s="179"/>
      <c r="J1254" s="179"/>
      <c r="K1254" s="179"/>
      <c r="L1254" s="179"/>
      <c r="M1254" s="179"/>
      <c r="N1254" s="179"/>
      <c r="O1254" s="179"/>
      <c r="P1254" s="179"/>
      <c r="Q1254" s="179"/>
      <c r="R1254" s="179"/>
      <c r="S1254" s="180"/>
      <c r="T1254" s="179"/>
      <c r="U1254" s="170" t="s">
        <v>2110</v>
      </c>
      <c r="V1254" s="165"/>
      <c r="W1254" s="451">
        <v>97434815</v>
      </c>
      <c r="X1254" s="282">
        <v>451119200</v>
      </c>
      <c r="Y1254" s="282">
        <v>501119200</v>
      </c>
    </row>
    <row r="1255" spans="1:25" ht="25.5">
      <c r="A1255" s="162"/>
      <c r="B1255" s="180"/>
      <c r="C1255" s="179"/>
      <c r="D1255" s="179"/>
      <c r="E1255" s="179"/>
      <c r="F1255" s="179"/>
      <c r="G1255" s="179"/>
      <c r="H1255" s="179"/>
      <c r="I1255" s="179"/>
      <c r="J1255" s="179"/>
      <c r="K1255" s="179"/>
      <c r="L1255" s="179"/>
      <c r="M1255" s="179"/>
      <c r="N1255" s="179"/>
      <c r="O1255" s="179"/>
      <c r="P1255" s="179"/>
      <c r="Q1255" s="179"/>
      <c r="R1255" s="179"/>
      <c r="S1255" s="180"/>
      <c r="T1255" s="179"/>
      <c r="U1255" s="170" t="s">
        <v>2111</v>
      </c>
      <c r="V1255" s="165"/>
      <c r="W1255" s="451">
        <v>0</v>
      </c>
      <c r="X1255" s="282">
        <v>133081800</v>
      </c>
      <c r="Y1255" s="282">
        <v>82593000.040000007</v>
      </c>
    </row>
    <row r="1256" spans="1:25" ht="25.5">
      <c r="A1256" s="162"/>
      <c r="B1256" s="180"/>
      <c r="C1256" s="179"/>
      <c r="D1256" s="179"/>
      <c r="E1256" s="179"/>
      <c r="F1256" s="179"/>
      <c r="G1256" s="179"/>
      <c r="H1256" s="179"/>
      <c r="I1256" s="179"/>
      <c r="J1256" s="179"/>
      <c r="K1256" s="179"/>
      <c r="L1256" s="179"/>
      <c r="M1256" s="179"/>
      <c r="N1256" s="179"/>
      <c r="O1256" s="179"/>
      <c r="P1256" s="179"/>
      <c r="Q1256" s="179"/>
      <c r="R1256" s="179"/>
      <c r="S1256" s="180"/>
      <c r="T1256" s="179"/>
      <c r="U1256" s="170" t="s">
        <v>2112</v>
      </c>
      <c r="V1256" s="165"/>
      <c r="W1256" s="451">
        <v>0</v>
      </c>
      <c r="X1256" s="384">
        <v>120000000</v>
      </c>
      <c r="Y1256" s="366">
        <v>150000000</v>
      </c>
    </row>
    <row r="1257" spans="1:25">
      <c r="A1257" s="162"/>
      <c r="B1257" s="180"/>
      <c r="C1257" s="179"/>
      <c r="D1257" s="179"/>
      <c r="E1257" s="179"/>
      <c r="F1257" s="179"/>
      <c r="G1257" s="179"/>
      <c r="H1257" s="179"/>
      <c r="I1257" s="179"/>
      <c r="J1257" s="179"/>
      <c r="K1257" s="179"/>
      <c r="L1257" s="179"/>
      <c r="M1257" s="179"/>
      <c r="N1257" s="179"/>
      <c r="O1257" s="179"/>
      <c r="P1257" s="179"/>
      <c r="Q1257" s="179"/>
      <c r="R1257" s="179"/>
      <c r="S1257" s="180"/>
      <c r="T1257" s="179"/>
      <c r="U1257" s="170" t="s">
        <v>2113</v>
      </c>
      <c r="V1257" s="165"/>
      <c r="W1257" s="451">
        <v>0</v>
      </c>
      <c r="X1257" s="366">
        <v>100000000</v>
      </c>
      <c r="Y1257" s="366">
        <v>20000000</v>
      </c>
    </row>
    <row r="1258" spans="1:25" ht="25.5">
      <c r="A1258" s="162"/>
      <c r="B1258" s="180"/>
      <c r="C1258" s="179"/>
      <c r="D1258" s="179"/>
      <c r="E1258" s="179"/>
      <c r="F1258" s="179"/>
      <c r="G1258" s="179"/>
      <c r="H1258" s="179"/>
      <c r="I1258" s="179"/>
      <c r="J1258" s="179"/>
      <c r="K1258" s="179"/>
      <c r="L1258" s="179"/>
      <c r="M1258" s="179"/>
      <c r="N1258" s="179"/>
      <c r="O1258" s="179"/>
      <c r="P1258" s="179"/>
      <c r="Q1258" s="179"/>
      <c r="R1258" s="179"/>
      <c r="S1258" s="180"/>
      <c r="T1258" s="179"/>
      <c r="U1258" s="170" t="s">
        <v>2496</v>
      </c>
      <c r="V1258" s="165"/>
      <c r="W1258" s="451">
        <v>30000000</v>
      </c>
      <c r="X1258" s="366">
        <v>30000000</v>
      </c>
      <c r="Y1258" s="366">
        <v>0</v>
      </c>
    </row>
    <row r="1259" spans="1:25" ht="25.5">
      <c r="A1259" s="162"/>
      <c r="B1259" s="180"/>
      <c r="C1259" s="179"/>
      <c r="D1259" s="179"/>
      <c r="E1259" s="179"/>
      <c r="F1259" s="179"/>
      <c r="G1259" s="179"/>
      <c r="H1259" s="179"/>
      <c r="I1259" s="179"/>
      <c r="J1259" s="179"/>
      <c r="K1259" s="179"/>
      <c r="L1259" s="179"/>
      <c r="M1259" s="179"/>
      <c r="N1259" s="179"/>
      <c r="O1259" s="179"/>
      <c r="P1259" s="179"/>
      <c r="Q1259" s="179"/>
      <c r="R1259" s="179"/>
      <c r="S1259" s="180"/>
      <c r="T1259" s="179"/>
      <c r="U1259" s="170" t="s">
        <v>1581</v>
      </c>
      <c r="V1259" s="165"/>
      <c r="W1259" s="451">
        <v>0</v>
      </c>
      <c r="X1259" s="385">
        <v>6000000</v>
      </c>
      <c r="Y1259" s="385">
        <v>5500000</v>
      </c>
    </row>
    <row r="1260" spans="1:25" ht="38.25">
      <c r="A1260" s="162"/>
      <c r="B1260" s="180"/>
      <c r="C1260" s="179"/>
      <c r="D1260" s="179"/>
      <c r="E1260" s="179"/>
      <c r="F1260" s="179"/>
      <c r="G1260" s="179"/>
      <c r="H1260" s="179"/>
      <c r="I1260" s="179"/>
      <c r="J1260" s="179"/>
      <c r="K1260" s="179"/>
      <c r="L1260" s="179"/>
      <c r="M1260" s="179"/>
      <c r="N1260" s="179"/>
      <c r="O1260" s="179"/>
      <c r="P1260" s="179"/>
      <c r="Q1260" s="179"/>
      <c r="R1260" s="179"/>
      <c r="S1260" s="180"/>
      <c r="T1260" s="179"/>
      <c r="U1260" s="170" t="s">
        <v>1968</v>
      </c>
      <c r="V1260" s="165"/>
      <c r="W1260" s="451">
        <v>0</v>
      </c>
      <c r="X1260" s="385">
        <v>900000000</v>
      </c>
      <c r="Y1260" s="385">
        <v>433473617</v>
      </c>
    </row>
    <row r="1261" spans="1:25" ht="25.5">
      <c r="A1261" s="162"/>
      <c r="B1261" s="180"/>
      <c r="C1261" s="179"/>
      <c r="D1261" s="179"/>
      <c r="E1261" s="179"/>
      <c r="F1261" s="179"/>
      <c r="G1261" s="179"/>
      <c r="H1261" s="179"/>
      <c r="I1261" s="179"/>
      <c r="J1261" s="179"/>
      <c r="K1261" s="179"/>
      <c r="L1261" s="179"/>
      <c r="M1261" s="179"/>
      <c r="N1261" s="179"/>
      <c r="O1261" s="179"/>
      <c r="P1261" s="179"/>
      <c r="Q1261" s="179"/>
      <c r="R1261" s="179"/>
      <c r="S1261" s="180"/>
      <c r="T1261" s="179"/>
      <c r="U1261" s="170" t="s">
        <v>2114</v>
      </c>
      <c r="V1261" s="165"/>
      <c r="W1261" s="451">
        <v>50000000</v>
      </c>
      <c r="X1261" s="385">
        <v>113000000</v>
      </c>
      <c r="Y1261" s="385"/>
    </row>
    <row r="1262" spans="1:25">
      <c r="A1262" s="162"/>
      <c r="B1262" s="180"/>
      <c r="C1262" s="179"/>
      <c r="D1262" s="179"/>
      <c r="E1262" s="179"/>
      <c r="F1262" s="179"/>
      <c r="G1262" s="179"/>
      <c r="H1262" s="179"/>
      <c r="I1262" s="179"/>
      <c r="J1262" s="179"/>
      <c r="K1262" s="179"/>
      <c r="L1262" s="179"/>
      <c r="M1262" s="179"/>
      <c r="N1262" s="179"/>
      <c r="O1262" s="179"/>
      <c r="P1262" s="179"/>
      <c r="Q1262" s="179"/>
      <c r="R1262" s="179"/>
      <c r="S1262" s="180"/>
      <c r="T1262" s="179"/>
      <c r="U1262" s="170" t="s">
        <v>2630</v>
      </c>
      <c r="V1262" s="165"/>
      <c r="W1262" s="451">
        <v>250000000</v>
      </c>
      <c r="X1262" s="385"/>
      <c r="Y1262" s="385"/>
    </row>
    <row r="1263" spans="1:25" s="184" customFormat="1">
      <c r="A1263" s="181"/>
      <c r="B1263" s="182"/>
      <c r="C1263" s="182"/>
      <c r="D1263" s="182"/>
      <c r="E1263" s="182"/>
      <c r="F1263" s="182"/>
      <c r="G1263" s="182"/>
      <c r="H1263" s="182"/>
      <c r="I1263" s="182"/>
      <c r="J1263" s="182"/>
      <c r="K1263" s="182"/>
      <c r="L1263" s="182"/>
      <c r="M1263" s="182"/>
      <c r="N1263" s="182"/>
      <c r="O1263" s="182"/>
      <c r="P1263" s="182"/>
      <c r="Q1263" s="182"/>
      <c r="R1263" s="182"/>
      <c r="S1263" s="182"/>
      <c r="T1263" s="182"/>
      <c r="U1263" s="183"/>
      <c r="V1263" s="168">
        <f>SUM(V1208:V1262)</f>
        <v>10711760825.952499</v>
      </c>
      <c r="W1263" s="168">
        <f t="shared" ref="W1263" si="135">SUM(W1208:W1262)</f>
        <v>7737722955.7299995</v>
      </c>
      <c r="X1263" s="168">
        <f t="shared" ref="X1263:Y1263" si="136">SUM(X1208:X1261)</f>
        <v>7902101000</v>
      </c>
      <c r="Y1263" s="168">
        <f t="shared" si="136"/>
        <v>4507685817.04</v>
      </c>
    </row>
    <row r="1264" spans="1:25">
      <c r="W1264" s="355"/>
    </row>
    <row r="1265" spans="1:25">
      <c r="U1265" s="185" t="s">
        <v>1218</v>
      </c>
      <c r="W1265" s="355"/>
    </row>
    <row r="1266" spans="1:25" ht="38.25">
      <c r="U1266" s="185" t="s">
        <v>2497</v>
      </c>
      <c r="W1266" s="355"/>
    </row>
    <row r="1267" spans="1:25">
      <c r="U1267" s="144" t="s">
        <v>1219</v>
      </c>
      <c r="V1267" s="145">
        <v>3111390436.6900001</v>
      </c>
      <c r="W1267" s="355"/>
    </row>
    <row r="1268" spans="1:25">
      <c r="U1268" s="144" t="s">
        <v>1220</v>
      </c>
      <c r="V1268" s="145">
        <v>595110651</v>
      </c>
      <c r="W1268" s="355"/>
    </row>
    <row r="1269" spans="1:25" ht="13.5" thickBot="1">
      <c r="V1269" s="354">
        <f>SUM(V1267:V1268)</f>
        <v>3706501087.6900001</v>
      </c>
      <c r="W1269" s="355"/>
    </row>
    <row r="1270" spans="1:25">
      <c r="W1270" s="355"/>
    </row>
    <row r="1271" spans="1:25" ht="25.5">
      <c r="U1271" s="185" t="s">
        <v>2498</v>
      </c>
      <c r="W1271" s="355"/>
    </row>
    <row r="1272" spans="1:25">
      <c r="U1272" s="144" t="s">
        <v>1219</v>
      </c>
      <c r="V1272" s="145">
        <v>2591495725.2399998</v>
      </c>
      <c r="W1272" s="355"/>
    </row>
    <row r="1273" spans="1:25">
      <c r="U1273" s="144" t="s">
        <v>1220</v>
      </c>
      <c r="V1273" s="145">
        <v>639726142.79999995</v>
      </c>
      <c r="W1273" s="355"/>
    </row>
    <row r="1274" spans="1:25" ht="13.5" thickBot="1">
      <c r="V1274" s="354">
        <f>SUM(V1272:V1273)</f>
        <v>3231221868.04</v>
      </c>
      <c r="W1274" s="355"/>
    </row>
    <row r="1275" spans="1:25">
      <c r="W1275" s="355"/>
    </row>
    <row r="1276" spans="1:25">
      <c r="W1276" s="355"/>
    </row>
    <row r="1278" spans="1:25" ht="26.25">
      <c r="A1278" s="175" t="s">
        <v>115</v>
      </c>
      <c r="B1278" s="176"/>
      <c r="C1278" s="176"/>
      <c r="D1278" s="176"/>
      <c r="E1278" s="176"/>
      <c r="F1278" s="176"/>
      <c r="G1278" s="176"/>
      <c r="H1278" s="176"/>
      <c r="I1278" s="176"/>
      <c r="J1278" s="176"/>
      <c r="K1278" s="176"/>
      <c r="L1278" s="176"/>
      <c r="M1278" s="176"/>
      <c r="N1278" s="176"/>
      <c r="O1278" s="176"/>
      <c r="P1278" s="176"/>
      <c r="Q1278" s="176"/>
      <c r="R1278" s="176"/>
      <c r="S1278" s="176"/>
      <c r="T1278" s="176"/>
      <c r="U1278" s="176"/>
      <c r="V1278" s="176"/>
      <c r="W1278" s="345"/>
      <c r="X1278" s="176"/>
      <c r="Y1278" s="176"/>
    </row>
    <row r="1279" spans="1:25" ht="25.5">
      <c r="A1279" s="162"/>
      <c r="B1279" s="163"/>
      <c r="C1279" s="163"/>
      <c r="D1279" s="163"/>
      <c r="E1279" s="163"/>
      <c r="F1279" s="163"/>
      <c r="G1279" s="163"/>
      <c r="H1279" s="163"/>
      <c r="I1279" s="163"/>
      <c r="J1279" s="163"/>
      <c r="K1279" s="163"/>
      <c r="L1279" s="163"/>
      <c r="M1279" s="163"/>
      <c r="N1279" s="163"/>
      <c r="O1279" s="163"/>
      <c r="P1279" s="163"/>
      <c r="Q1279" s="163"/>
      <c r="R1279" s="163"/>
      <c r="S1279" s="163"/>
      <c r="T1279" s="163"/>
      <c r="U1279" s="178" t="s">
        <v>1969</v>
      </c>
      <c r="V1279" s="165"/>
      <c r="W1279" s="451">
        <v>255000000</v>
      </c>
      <c r="X1279" s="165"/>
      <c r="Y1279" s="165"/>
    </row>
    <row r="1280" spans="1:25" ht="25.5">
      <c r="A1280" s="162"/>
      <c r="B1280" s="163"/>
      <c r="C1280" s="163"/>
      <c r="D1280" s="163"/>
      <c r="E1280" s="163"/>
      <c r="F1280" s="163"/>
      <c r="G1280" s="163"/>
      <c r="H1280" s="163"/>
      <c r="I1280" s="163"/>
      <c r="J1280" s="163"/>
      <c r="K1280" s="163"/>
      <c r="L1280" s="163"/>
      <c r="M1280" s="163"/>
      <c r="N1280" s="163"/>
      <c r="O1280" s="163"/>
      <c r="P1280" s="163"/>
      <c r="Q1280" s="163"/>
      <c r="R1280" s="163"/>
      <c r="S1280" s="163"/>
      <c r="T1280" s="163"/>
      <c r="U1280" s="178" t="s">
        <v>1596</v>
      </c>
      <c r="V1280" s="165">
        <v>97104100</v>
      </c>
      <c r="W1280" s="451">
        <v>98000000</v>
      </c>
      <c r="X1280" s="366">
        <v>120000000</v>
      </c>
      <c r="Y1280" s="366"/>
    </row>
    <row r="1281" spans="1:25" ht="25.5">
      <c r="A1281" s="162"/>
      <c r="B1281" s="163"/>
      <c r="C1281" s="163"/>
      <c r="D1281" s="163"/>
      <c r="E1281" s="163"/>
      <c r="F1281" s="163"/>
      <c r="G1281" s="163"/>
      <c r="H1281" s="163"/>
      <c r="I1281" s="163"/>
      <c r="J1281" s="163"/>
      <c r="K1281" s="163"/>
      <c r="L1281" s="163"/>
      <c r="M1281" s="163"/>
      <c r="N1281" s="163"/>
      <c r="O1281" s="163"/>
      <c r="P1281" s="163"/>
      <c r="Q1281" s="163"/>
      <c r="R1281" s="163"/>
      <c r="S1281" s="163"/>
      <c r="T1281" s="163"/>
      <c r="U1281" s="178" t="s">
        <v>1970</v>
      </c>
      <c r="V1281" s="165">
        <v>37003070.399999999</v>
      </c>
      <c r="W1281" s="451">
        <v>27548928.399999999</v>
      </c>
      <c r="X1281" s="366">
        <v>25000000</v>
      </c>
      <c r="Y1281" s="366">
        <v>10000000</v>
      </c>
    </row>
    <row r="1282" spans="1:25" ht="25.5">
      <c r="A1282" s="162"/>
      <c r="B1282" s="163"/>
      <c r="C1282" s="163"/>
      <c r="D1282" s="163"/>
      <c r="E1282" s="163"/>
      <c r="F1282" s="163"/>
      <c r="G1282" s="163"/>
      <c r="H1282" s="163"/>
      <c r="I1282" s="163"/>
      <c r="J1282" s="163"/>
      <c r="K1282" s="163"/>
      <c r="L1282" s="163"/>
      <c r="M1282" s="163"/>
      <c r="N1282" s="163"/>
      <c r="O1282" s="163"/>
      <c r="P1282" s="163"/>
      <c r="Q1282" s="163"/>
      <c r="R1282" s="163"/>
      <c r="S1282" s="163"/>
      <c r="T1282" s="163"/>
      <c r="U1282" s="178" t="s">
        <v>1971</v>
      </c>
      <c r="V1282" s="165"/>
      <c r="W1282" s="451">
        <v>35000000</v>
      </c>
      <c r="X1282" s="165"/>
      <c r="Y1282" s="165"/>
    </row>
    <row r="1283" spans="1:25" ht="25.5">
      <c r="A1283" s="162"/>
      <c r="B1283" s="163"/>
      <c r="C1283" s="163"/>
      <c r="D1283" s="163"/>
      <c r="E1283" s="163"/>
      <c r="F1283" s="163"/>
      <c r="G1283" s="163"/>
      <c r="H1283" s="163"/>
      <c r="I1283" s="163"/>
      <c r="J1283" s="163"/>
      <c r="K1283" s="163"/>
      <c r="L1283" s="163"/>
      <c r="M1283" s="163"/>
      <c r="N1283" s="163"/>
      <c r="O1283" s="163"/>
      <c r="P1283" s="163"/>
      <c r="Q1283" s="163"/>
      <c r="R1283" s="163"/>
      <c r="S1283" s="163"/>
      <c r="T1283" s="163"/>
      <c r="U1283" s="178" t="s">
        <v>1597</v>
      </c>
      <c r="V1283" s="165"/>
      <c r="W1283" s="451">
        <v>40985000</v>
      </c>
      <c r="X1283" s="165"/>
      <c r="Y1283" s="165"/>
    </row>
    <row r="1284" spans="1:25">
      <c r="A1284" s="162"/>
      <c r="B1284" s="163"/>
      <c r="C1284" s="163"/>
      <c r="D1284" s="163"/>
      <c r="E1284" s="163"/>
      <c r="F1284" s="163"/>
      <c r="G1284" s="163"/>
      <c r="H1284" s="163"/>
      <c r="I1284" s="163"/>
      <c r="J1284" s="163"/>
      <c r="K1284" s="163"/>
      <c r="L1284" s="163"/>
      <c r="M1284" s="163"/>
      <c r="N1284" s="163"/>
      <c r="O1284" s="163"/>
      <c r="P1284" s="163"/>
      <c r="Q1284" s="163"/>
      <c r="R1284" s="163"/>
      <c r="S1284" s="163"/>
      <c r="T1284" s="163"/>
      <c r="U1284" s="178" t="s">
        <v>1972</v>
      </c>
      <c r="V1284" s="165"/>
      <c r="W1284" s="451">
        <v>0</v>
      </c>
      <c r="X1284" s="165"/>
      <c r="Y1284" s="165"/>
    </row>
    <row r="1285" spans="1:25" ht="25.5">
      <c r="A1285" s="162"/>
      <c r="B1285" s="163"/>
      <c r="C1285" s="163"/>
      <c r="D1285" s="163"/>
      <c r="E1285" s="163"/>
      <c r="F1285" s="163"/>
      <c r="G1285" s="163"/>
      <c r="H1285" s="163"/>
      <c r="I1285" s="163"/>
      <c r="J1285" s="163"/>
      <c r="K1285" s="163"/>
      <c r="L1285" s="163"/>
      <c r="M1285" s="163"/>
      <c r="N1285" s="163"/>
      <c r="O1285" s="163"/>
      <c r="P1285" s="163"/>
      <c r="Q1285" s="163"/>
      <c r="R1285" s="163"/>
      <c r="S1285" s="163"/>
      <c r="T1285" s="163"/>
      <c r="U1285" s="178" t="s">
        <v>1598</v>
      </c>
      <c r="V1285" s="165"/>
      <c r="W1285" s="451">
        <v>0</v>
      </c>
      <c r="X1285" s="165"/>
      <c r="Y1285" s="165"/>
    </row>
    <row r="1286" spans="1:25" ht="25.5">
      <c r="A1286" s="162"/>
      <c r="B1286" s="163"/>
      <c r="C1286" s="163"/>
      <c r="D1286" s="163"/>
      <c r="E1286" s="163"/>
      <c r="F1286" s="163"/>
      <c r="G1286" s="163"/>
      <c r="H1286" s="163"/>
      <c r="I1286" s="163"/>
      <c r="J1286" s="163"/>
      <c r="K1286" s="163"/>
      <c r="L1286" s="163"/>
      <c r="M1286" s="163"/>
      <c r="N1286" s="163"/>
      <c r="O1286" s="163"/>
      <c r="P1286" s="163"/>
      <c r="Q1286" s="163"/>
      <c r="R1286" s="163"/>
      <c r="S1286" s="163"/>
      <c r="T1286" s="163"/>
      <c r="U1286" s="178" t="s">
        <v>2499</v>
      </c>
      <c r="V1286" s="165"/>
      <c r="W1286" s="451">
        <v>0</v>
      </c>
      <c r="X1286" s="165"/>
      <c r="Y1286" s="165"/>
    </row>
    <row r="1287" spans="1:25" ht="25.5">
      <c r="A1287" s="162"/>
      <c r="B1287" s="163"/>
      <c r="C1287" s="163"/>
      <c r="D1287" s="163"/>
      <c r="E1287" s="163"/>
      <c r="F1287" s="163"/>
      <c r="G1287" s="163"/>
      <c r="H1287" s="163"/>
      <c r="I1287" s="163"/>
      <c r="J1287" s="163"/>
      <c r="K1287" s="163"/>
      <c r="L1287" s="163"/>
      <c r="M1287" s="163"/>
      <c r="N1287" s="163"/>
      <c r="O1287" s="163"/>
      <c r="P1287" s="163"/>
      <c r="Q1287" s="163"/>
      <c r="R1287" s="163"/>
      <c r="S1287" s="163"/>
      <c r="T1287" s="163"/>
      <c r="U1287" s="178" t="s">
        <v>2064</v>
      </c>
      <c r="V1287" s="165"/>
      <c r="W1287" s="451">
        <v>357579928.39999998</v>
      </c>
      <c r="X1287" s="165"/>
      <c r="Y1287" s="165"/>
    </row>
    <row r="1288" spans="1:25" ht="25.5">
      <c r="A1288" s="162"/>
      <c r="B1288" s="163"/>
      <c r="C1288" s="163"/>
      <c r="D1288" s="163"/>
      <c r="E1288" s="163"/>
      <c r="F1288" s="163"/>
      <c r="G1288" s="163"/>
      <c r="H1288" s="163"/>
      <c r="I1288" s="163"/>
      <c r="J1288" s="163"/>
      <c r="K1288" s="163"/>
      <c r="L1288" s="163"/>
      <c r="M1288" s="163"/>
      <c r="N1288" s="163"/>
      <c r="O1288" s="163"/>
      <c r="P1288" s="163"/>
      <c r="Q1288" s="163"/>
      <c r="R1288" s="163"/>
      <c r="S1288" s="163"/>
      <c r="T1288" s="163"/>
      <c r="U1288" s="178" t="s">
        <v>1973</v>
      </c>
      <c r="V1288" s="165"/>
      <c r="W1288" s="451">
        <v>0</v>
      </c>
      <c r="X1288" s="165"/>
      <c r="Y1288" s="165"/>
    </row>
    <row r="1289" spans="1:25" ht="25.5">
      <c r="A1289" s="162"/>
      <c r="B1289" s="163"/>
      <c r="C1289" s="163"/>
      <c r="D1289" s="163"/>
      <c r="E1289" s="163"/>
      <c r="F1289" s="163"/>
      <c r="G1289" s="163"/>
      <c r="H1289" s="163"/>
      <c r="I1289" s="163"/>
      <c r="J1289" s="163"/>
      <c r="K1289" s="163"/>
      <c r="L1289" s="163"/>
      <c r="M1289" s="163"/>
      <c r="N1289" s="163"/>
      <c r="O1289" s="163"/>
      <c r="P1289" s="163"/>
      <c r="Q1289" s="163"/>
      <c r="R1289" s="163"/>
      <c r="S1289" s="163"/>
      <c r="T1289" s="163"/>
      <c r="U1289" s="178" t="s">
        <v>1599</v>
      </c>
      <c r="V1289" s="165"/>
      <c r="W1289" s="451">
        <v>0</v>
      </c>
      <c r="X1289" s="165"/>
      <c r="Y1289" s="165"/>
    </row>
    <row r="1290" spans="1:25" ht="38.25">
      <c r="A1290" s="162"/>
      <c r="B1290" s="163"/>
      <c r="C1290" s="163"/>
      <c r="D1290" s="163"/>
      <c r="E1290" s="163"/>
      <c r="F1290" s="163"/>
      <c r="G1290" s="163"/>
      <c r="H1290" s="163"/>
      <c r="I1290" s="163"/>
      <c r="J1290" s="163"/>
      <c r="K1290" s="163"/>
      <c r="L1290" s="163"/>
      <c r="M1290" s="163"/>
      <c r="N1290" s="163"/>
      <c r="O1290" s="163"/>
      <c r="P1290" s="163"/>
      <c r="Q1290" s="163"/>
      <c r="R1290" s="163"/>
      <c r="S1290" s="163"/>
      <c r="T1290" s="163"/>
      <c r="U1290" s="178" t="s">
        <v>1974</v>
      </c>
      <c r="V1290" s="165"/>
      <c r="W1290" s="451">
        <v>44546000</v>
      </c>
      <c r="X1290" s="165"/>
      <c r="Y1290" s="165"/>
    </row>
    <row r="1291" spans="1:25" ht="40.5" customHeight="1">
      <c r="A1291" s="162"/>
      <c r="B1291" s="163"/>
      <c r="C1291" s="163"/>
      <c r="D1291" s="163"/>
      <c r="E1291" s="163"/>
      <c r="F1291" s="163"/>
      <c r="G1291" s="163"/>
      <c r="H1291" s="163"/>
      <c r="I1291" s="163"/>
      <c r="J1291" s="163"/>
      <c r="K1291" s="163"/>
      <c r="L1291" s="163"/>
      <c r="M1291" s="163"/>
      <c r="N1291" s="163"/>
      <c r="O1291" s="163"/>
      <c r="P1291" s="163"/>
      <c r="Q1291" s="163"/>
      <c r="R1291" s="163"/>
      <c r="S1291" s="163"/>
      <c r="T1291" s="163"/>
      <c r="U1291" s="178" t="s">
        <v>1975</v>
      </c>
      <c r="V1291" s="165">
        <v>5500000</v>
      </c>
      <c r="W1291" s="451">
        <v>6500000</v>
      </c>
      <c r="X1291" s="165"/>
      <c r="Y1291" s="165"/>
    </row>
    <row r="1292" spans="1:25" ht="25.5">
      <c r="A1292" s="162"/>
      <c r="B1292" s="180"/>
      <c r="C1292" s="179"/>
      <c r="D1292" s="179"/>
      <c r="E1292" s="179"/>
      <c r="F1292" s="179"/>
      <c r="G1292" s="179"/>
      <c r="H1292" s="179"/>
      <c r="I1292" s="179"/>
      <c r="J1292" s="179"/>
      <c r="K1292" s="179"/>
      <c r="L1292" s="179"/>
      <c r="M1292" s="179"/>
      <c r="N1292" s="179"/>
      <c r="O1292" s="179"/>
      <c r="P1292" s="179"/>
      <c r="Q1292" s="179"/>
      <c r="R1292" s="179"/>
      <c r="S1292" s="180"/>
      <c r="T1292" s="179"/>
      <c r="U1292" s="170" t="s">
        <v>1976</v>
      </c>
      <c r="V1292" s="165">
        <v>303480000</v>
      </c>
      <c r="W1292" s="451">
        <v>0</v>
      </c>
      <c r="X1292" s="163"/>
      <c r="Y1292" s="163"/>
    </row>
    <row r="1293" spans="1:25" ht="38.25">
      <c r="A1293" s="162"/>
      <c r="B1293" s="180"/>
      <c r="C1293" s="179"/>
      <c r="D1293" s="179"/>
      <c r="E1293" s="179"/>
      <c r="F1293" s="179"/>
      <c r="G1293" s="179"/>
      <c r="H1293" s="179"/>
      <c r="I1293" s="179"/>
      <c r="J1293" s="179"/>
      <c r="K1293" s="179"/>
      <c r="L1293" s="179"/>
      <c r="M1293" s="179"/>
      <c r="N1293" s="179"/>
      <c r="O1293" s="179"/>
      <c r="P1293" s="179"/>
      <c r="Q1293" s="179"/>
      <c r="R1293" s="179"/>
      <c r="S1293" s="180"/>
      <c r="T1293" s="179"/>
      <c r="U1293" s="170" t="s">
        <v>1977</v>
      </c>
      <c r="V1293" s="165">
        <v>44360643</v>
      </c>
      <c r="W1293" s="451">
        <v>0</v>
      </c>
      <c r="X1293" s="163"/>
      <c r="Y1293" s="163"/>
    </row>
    <row r="1294" spans="1:25" ht="38.25">
      <c r="A1294" s="162"/>
      <c r="B1294" s="180"/>
      <c r="C1294" s="179"/>
      <c r="D1294" s="179"/>
      <c r="E1294" s="179"/>
      <c r="F1294" s="179"/>
      <c r="G1294" s="179"/>
      <c r="H1294" s="179"/>
      <c r="I1294" s="179"/>
      <c r="J1294" s="179"/>
      <c r="K1294" s="179"/>
      <c r="L1294" s="179"/>
      <c r="M1294" s="179"/>
      <c r="N1294" s="179"/>
      <c r="O1294" s="179"/>
      <c r="P1294" s="179"/>
      <c r="Q1294" s="179"/>
      <c r="R1294" s="179"/>
      <c r="S1294" s="180"/>
      <c r="T1294" s="179"/>
      <c r="U1294" s="170" t="s">
        <v>1600</v>
      </c>
      <c r="V1294" s="165">
        <v>204000000</v>
      </c>
      <c r="W1294" s="451">
        <v>0</v>
      </c>
      <c r="X1294" s="163"/>
      <c r="Y1294" s="163"/>
    </row>
    <row r="1295" spans="1:25" ht="25.5">
      <c r="A1295" s="162"/>
      <c r="B1295" s="180"/>
      <c r="C1295" s="179"/>
      <c r="D1295" s="179"/>
      <c r="E1295" s="179"/>
      <c r="F1295" s="179"/>
      <c r="G1295" s="179"/>
      <c r="H1295" s="179"/>
      <c r="I1295" s="179"/>
      <c r="J1295" s="179"/>
      <c r="K1295" s="179"/>
      <c r="L1295" s="179"/>
      <c r="M1295" s="179"/>
      <c r="N1295" s="179"/>
      <c r="O1295" s="179"/>
      <c r="P1295" s="179"/>
      <c r="Q1295" s="179"/>
      <c r="R1295" s="179"/>
      <c r="S1295" s="180"/>
      <c r="T1295" s="179"/>
      <c r="U1295" s="170" t="s">
        <v>2500</v>
      </c>
      <c r="V1295" s="165"/>
      <c r="W1295" s="451">
        <v>0</v>
      </c>
      <c r="X1295" s="366">
        <v>80000000</v>
      </c>
      <c r="Y1295" s="366">
        <v>124000000</v>
      </c>
    </row>
    <row r="1296" spans="1:25" ht="25.5">
      <c r="A1296" s="162"/>
      <c r="B1296" s="180"/>
      <c r="C1296" s="179"/>
      <c r="D1296" s="179"/>
      <c r="E1296" s="179"/>
      <c r="F1296" s="179"/>
      <c r="G1296" s="179"/>
      <c r="H1296" s="179"/>
      <c r="I1296" s="179"/>
      <c r="J1296" s="179"/>
      <c r="K1296" s="179"/>
      <c r="L1296" s="179"/>
      <c r="M1296" s="179"/>
      <c r="N1296" s="179"/>
      <c r="O1296" s="179"/>
      <c r="P1296" s="179"/>
      <c r="Q1296" s="179"/>
      <c r="R1296" s="179"/>
      <c r="S1296" s="180"/>
      <c r="T1296" s="179"/>
      <c r="U1296" s="170" t="s">
        <v>2501</v>
      </c>
      <c r="V1296" s="165"/>
      <c r="W1296" s="451">
        <v>0</v>
      </c>
      <c r="X1296" s="366">
        <v>663500000</v>
      </c>
      <c r="Y1296" s="366">
        <v>663500000</v>
      </c>
    </row>
    <row r="1297" spans="1:25" ht="25.5">
      <c r="A1297" s="162"/>
      <c r="B1297" s="180"/>
      <c r="C1297" s="179"/>
      <c r="D1297" s="179"/>
      <c r="E1297" s="179"/>
      <c r="F1297" s="179"/>
      <c r="G1297" s="179"/>
      <c r="H1297" s="179"/>
      <c r="I1297" s="179"/>
      <c r="J1297" s="179"/>
      <c r="K1297" s="179"/>
      <c r="L1297" s="179"/>
      <c r="M1297" s="179"/>
      <c r="N1297" s="179"/>
      <c r="O1297" s="179"/>
      <c r="P1297" s="179"/>
      <c r="Q1297" s="179"/>
      <c r="R1297" s="179"/>
      <c r="S1297" s="180"/>
      <c r="T1297" s="179"/>
      <c r="U1297" s="170" t="s">
        <v>2502</v>
      </c>
      <c r="V1297" s="165"/>
      <c r="W1297" s="451">
        <v>0</v>
      </c>
      <c r="X1297" s="366">
        <v>67000000</v>
      </c>
      <c r="Y1297" s="366">
        <v>67000000</v>
      </c>
    </row>
    <row r="1298" spans="1:25" s="184" customFormat="1">
      <c r="A1298" s="181"/>
      <c r="B1298" s="182"/>
      <c r="C1298" s="182"/>
      <c r="D1298" s="182"/>
      <c r="E1298" s="182"/>
      <c r="F1298" s="182"/>
      <c r="G1298" s="182"/>
      <c r="H1298" s="182"/>
      <c r="I1298" s="182"/>
      <c r="J1298" s="182"/>
      <c r="K1298" s="182"/>
      <c r="L1298" s="182"/>
      <c r="M1298" s="182"/>
      <c r="N1298" s="182"/>
      <c r="O1298" s="182"/>
      <c r="P1298" s="182"/>
      <c r="Q1298" s="182"/>
      <c r="R1298" s="182"/>
      <c r="S1298" s="182"/>
      <c r="T1298" s="182"/>
      <c r="U1298" s="183"/>
      <c r="V1298" s="168">
        <f>SUM(V1279:V1297)</f>
        <v>691447813.39999998</v>
      </c>
      <c r="W1298" s="334">
        <f t="shared" ref="W1298:Y1298" si="137">SUM(W1279:W1297)</f>
        <v>865159856.79999995</v>
      </c>
      <c r="X1298" s="168">
        <f t="shared" si="137"/>
        <v>955500000</v>
      </c>
      <c r="Y1298" s="168">
        <f t="shared" si="137"/>
        <v>864500000</v>
      </c>
    </row>
    <row r="1300" spans="1:25">
      <c r="U1300" s="185" t="s">
        <v>1601</v>
      </c>
    </row>
    <row r="1301" spans="1:25" ht="25.5">
      <c r="U1301" s="185" t="s">
        <v>1602</v>
      </c>
    </row>
    <row r="1302" spans="1:25">
      <c r="U1302" s="144" t="s">
        <v>1219</v>
      </c>
      <c r="V1302" s="145">
        <v>323789964.19999999</v>
      </c>
    </row>
    <row r="1303" spans="1:25">
      <c r="U1303" s="144" t="s">
        <v>1220</v>
      </c>
      <c r="V1303" s="145">
        <v>323789964.19999999</v>
      </c>
    </row>
    <row r="1304" spans="1:25" ht="13.5" thickBot="1">
      <c r="V1304" s="354">
        <f>SUM(V1302:V1303)</f>
        <v>647579928.39999998</v>
      </c>
    </row>
    <row r="1305" spans="1:25" ht="26.25">
      <c r="A1305" s="175" t="s">
        <v>2144</v>
      </c>
      <c r="B1305" s="176"/>
      <c r="C1305" s="176"/>
      <c r="D1305" s="176"/>
      <c r="E1305" s="176"/>
      <c r="F1305" s="176"/>
      <c r="G1305" s="176"/>
      <c r="H1305" s="176"/>
      <c r="I1305" s="176"/>
      <c r="J1305" s="176"/>
      <c r="K1305" s="176"/>
      <c r="L1305" s="176"/>
      <c r="M1305" s="176"/>
      <c r="N1305" s="176"/>
      <c r="O1305" s="176"/>
      <c r="P1305" s="176"/>
      <c r="Q1305" s="176"/>
      <c r="R1305" s="176"/>
      <c r="S1305" s="176"/>
      <c r="T1305" s="176"/>
      <c r="U1305" s="176"/>
      <c r="V1305" s="176"/>
      <c r="W1305" s="345"/>
      <c r="X1305" s="176"/>
      <c r="Y1305" s="176"/>
    </row>
    <row r="1306" spans="1:25">
      <c r="A1306" s="162"/>
      <c r="B1306" s="163"/>
      <c r="C1306" s="163"/>
      <c r="D1306" s="163"/>
      <c r="E1306" s="163"/>
      <c r="F1306" s="163"/>
      <c r="G1306" s="163"/>
      <c r="H1306" s="163"/>
      <c r="I1306" s="163"/>
      <c r="J1306" s="163"/>
      <c r="K1306" s="163"/>
      <c r="L1306" s="163"/>
      <c r="M1306" s="163"/>
      <c r="N1306" s="163"/>
      <c r="O1306" s="163"/>
      <c r="P1306" s="163"/>
      <c r="Q1306" s="163"/>
      <c r="R1306" s="163"/>
      <c r="S1306" s="163"/>
      <c r="T1306" s="163"/>
      <c r="U1306" s="178" t="s">
        <v>1603</v>
      </c>
      <c r="V1306" s="165">
        <v>2270718500</v>
      </c>
      <c r="W1306" s="451">
        <v>1001000000</v>
      </c>
      <c r="X1306" s="165"/>
      <c r="Y1306" s="165"/>
    </row>
    <row r="1307" spans="1:25">
      <c r="A1307" s="162"/>
      <c r="B1307" s="163"/>
      <c r="C1307" s="163"/>
      <c r="D1307" s="163"/>
      <c r="E1307" s="163"/>
      <c r="F1307" s="163"/>
      <c r="G1307" s="163"/>
      <c r="H1307" s="163"/>
      <c r="I1307" s="163"/>
      <c r="J1307" s="163"/>
      <c r="K1307" s="163"/>
      <c r="L1307" s="163"/>
      <c r="M1307" s="163"/>
      <c r="N1307" s="163"/>
      <c r="O1307" s="163"/>
      <c r="P1307" s="163"/>
      <c r="Q1307" s="163"/>
      <c r="R1307" s="163"/>
      <c r="S1307" s="163"/>
      <c r="T1307" s="163"/>
      <c r="U1307" s="178" t="s">
        <v>1604</v>
      </c>
      <c r="V1307" s="165"/>
      <c r="W1307" s="451">
        <v>1713000000</v>
      </c>
      <c r="X1307" s="165"/>
      <c r="Y1307" s="165"/>
    </row>
    <row r="1308" spans="1:25">
      <c r="A1308" s="162"/>
      <c r="B1308" s="163"/>
      <c r="C1308" s="163"/>
      <c r="D1308" s="163"/>
      <c r="E1308" s="163"/>
      <c r="F1308" s="163"/>
      <c r="G1308" s="163"/>
      <c r="H1308" s="163"/>
      <c r="I1308" s="163"/>
      <c r="J1308" s="163"/>
      <c r="K1308" s="163"/>
      <c r="L1308" s="163"/>
      <c r="M1308" s="163"/>
      <c r="N1308" s="163"/>
      <c r="O1308" s="163"/>
      <c r="P1308" s="163"/>
      <c r="Q1308" s="163"/>
      <c r="R1308" s="163"/>
      <c r="S1308" s="163"/>
      <c r="T1308" s="163"/>
      <c r="U1308" s="178" t="s">
        <v>2207</v>
      </c>
      <c r="V1308" s="165"/>
      <c r="W1308" s="451">
        <v>0</v>
      </c>
      <c r="X1308" s="165"/>
      <c r="Y1308" s="165"/>
    </row>
    <row r="1309" spans="1:25">
      <c r="A1309" s="162"/>
      <c r="B1309" s="163"/>
      <c r="C1309" s="163"/>
      <c r="D1309" s="163"/>
      <c r="E1309" s="163"/>
      <c r="F1309" s="163"/>
      <c r="G1309" s="163"/>
      <c r="H1309" s="163"/>
      <c r="I1309" s="163"/>
      <c r="J1309" s="163"/>
      <c r="K1309" s="163"/>
      <c r="L1309" s="163"/>
      <c r="M1309" s="163"/>
      <c r="N1309" s="163"/>
      <c r="O1309" s="163"/>
      <c r="P1309" s="163"/>
      <c r="Q1309" s="163"/>
      <c r="R1309" s="163"/>
      <c r="S1309" s="163"/>
      <c r="T1309" s="163"/>
      <c r="U1309" s="178" t="s">
        <v>1605</v>
      </c>
      <c r="V1309" s="165">
        <v>100000000</v>
      </c>
      <c r="W1309" s="451">
        <v>131434125</v>
      </c>
      <c r="X1309" s="165"/>
      <c r="Y1309" s="165"/>
    </row>
    <row r="1310" spans="1:25">
      <c r="A1310" s="162"/>
      <c r="B1310" s="163"/>
      <c r="C1310" s="163"/>
      <c r="D1310" s="163"/>
      <c r="E1310" s="163"/>
      <c r="F1310" s="163"/>
      <c r="G1310" s="163"/>
      <c r="H1310" s="163"/>
      <c r="I1310" s="163"/>
      <c r="J1310" s="163"/>
      <c r="K1310" s="163"/>
      <c r="L1310" s="163"/>
      <c r="M1310" s="163"/>
      <c r="N1310" s="163"/>
      <c r="O1310" s="163"/>
      <c r="P1310" s="163"/>
      <c r="Q1310" s="163"/>
      <c r="R1310" s="163"/>
      <c r="S1310" s="163"/>
      <c r="T1310" s="163"/>
      <c r="U1310" s="178" t="s">
        <v>2523</v>
      </c>
      <c r="V1310" s="165">
        <v>50749390</v>
      </c>
      <c r="W1310" s="451">
        <v>0</v>
      </c>
      <c r="X1310" s="165"/>
      <c r="Y1310" s="165"/>
    </row>
    <row r="1311" spans="1:25" ht="25.5">
      <c r="A1311" s="162"/>
      <c r="B1311" s="163"/>
      <c r="C1311" s="163"/>
      <c r="D1311" s="163"/>
      <c r="E1311" s="163"/>
      <c r="F1311" s="163"/>
      <c r="G1311" s="163"/>
      <c r="H1311" s="163"/>
      <c r="I1311" s="163"/>
      <c r="J1311" s="163"/>
      <c r="K1311" s="163"/>
      <c r="L1311" s="163"/>
      <c r="M1311" s="163"/>
      <c r="N1311" s="163"/>
      <c r="O1311" s="163"/>
      <c r="P1311" s="163"/>
      <c r="Q1311" s="163"/>
      <c r="R1311" s="163"/>
      <c r="S1311" s="163"/>
      <c r="T1311" s="163"/>
      <c r="U1311" s="178" t="s">
        <v>2522</v>
      </c>
      <c r="V1311" s="165"/>
      <c r="W1311" s="451">
        <v>176428000</v>
      </c>
      <c r="X1311" s="165"/>
      <c r="Y1311" s="165"/>
    </row>
    <row r="1312" spans="1:25">
      <c r="A1312" s="162"/>
      <c r="B1312" s="163"/>
      <c r="C1312" s="163"/>
      <c r="D1312" s="163"/>
      <c r="E1312" s="163"/>
      <c r="F1312" s="163"/>
      <c r="G1312" s="163"/>
      <c r="H1312" s="163"/>
      <c r="I1312" s="163"/>
      <c r="J1312" s="163"/>
      <c r="K1312" s="163"/>
      <c r="L1312" s="163"/>
      <c r="M1312" s="163"/>
      <c r="N1312" s="163"/>
      <c r="O1312" s="163"/>
      <c r="P1312" s="163"/>
      <c r="Q1312" s="163"/>
      <c r="R1312" s="163"/>
      <c r="S1312" s="163"/>
      <c r="T1312" s="163"/>
      <c r="U1312" s="178" t="s">
        <v>1978</v>
      </c>
      <c r="V1312" s="165"/>
      <c r="W1312" s="451">
        <v>250000000</v>
      </c>
      <c r="X1312" s="165"/>
      <c r="Y1312" s="165"/>
    </row>
    <row r="1313" spans="1:25">
      <c r="A1313" s="162"/>
      <c r="B1313" s="163"/>
      <c r="C1313" s="163"/>
      <c r="D1313" s="163"/>
      <c r="E1313" s="163"/>
      <c r="F1313" s="163"/>
      <c r="G1313" s="163"/>
      <c r="H1313" s="163"/>
      <c r="I1313" s="163"/>
      <c r="J1313" s="163"/>
      <c r="K1313" s="163"/>
      <c r="L1313" s="163"/>
      <c r="M1313" s="163"/>
      <c r="N1313" s="163"/>
      <c r="O1313" s="163"/>
      <c r="P1313" s="163"/>
      <c r="Q1313" s="163"/>
      <c r="R1313" s="163"/>
      <c r="S1313" s="163"/>
      <c r="T1313" s="163"/>
      <c r="U1313" s="178" t="s">
        <v>2208</v>
      </c>
      <c r="V1313" s="165"/>
      <c r="W1313" s="451">
        <v>281271847.19999999</v>
      </c>
      <c r="X1313" s="165"/>
      <c r="Y1313" s="165"/>
    </row>
    <row r="1314" spans="1:25" ht="25.5">
      <c r="A1314" s="162"/>
      <c r="B1314" s="163"/>
      <c r="C1314" s="163"/>
      <c r="D1314" s="163"/>
      <c r="E1314" s="163"/>
      <c r="F1314" s="163"/>
      <c r="G1314" s="163"/>
      <c r="H1314" s="163"/>
      <c r="I1314" s="163"/>
      <c r="J1314" s="163"/>
      <c r="K1314" s="163"/>
      <c r="L1314" s="163"/>
      <c r="M1314" s="163"/>
      <c r="N1314" s="163"/>
      <c r="O1314" s="163"/>
      <c r="P1314" s="163"/>
      <c r="Q1314" s="163"/>
      <c r="R1314" s="163"/>
      <c r="S1314" s="163"/>
      <c r="T1314" s="163"/>
      <c r="U1314" s="178" t="s">
        <v>2524</v>
      </c>
      <c r="V1314" s="165"/>
      <c r="W1314" s="451">
        <v>217600000</v>
      </c>
      <c r="X1314" s="165"/>
      <c r="Y1314" s="165"/>
    </row>
    <row r="1315" spans="1:25">
      <c r="A1315" s="162"/>
      <c r="B1315" s="163"/>
      <c r="C1315" s="163"/>
      <c r="D1315" s="163"/>
      <c r="E1315" s="163"/>
      <c r="F1315" s="163"/>
      <c r="G1315" s="163"/>
      <c r="H1315" s="163"/>
      <c r="I1315" s="163"/>
      <c r="J1315" s="163"/>
      <c r="K1315" s="163"/>
      <c r="L1315" s="163"/>
      <c r="M1315" s="163"/>
      <c r="N1315" s="163"/>
      <c r="O1315" s="163"/>
      <c r="P1315" s="163"/>
      <c r="Q1315" s="163"/>
      <c r="R1315" s="163"/>
      <c r="S1315" s="163"/>
      <c r="T1315" s="163"/>
      <c r="U1315" s="178" t="s">
        <v>2209</v>
      </c>
      <c r="V1315" s="165"/>
      <c r="W1315" s="451">
        <v>0</v>
      </c>
      <c r="X1315" s="165"/>
      <c r="Y1315" s="165"/>
    </row>
    <row r="1316" spans="1:25" ht="25.5">
      <c r="A1316" s="162"/>
      <c r="B1316" s="163"/>
      <c r="C1316" s="163"/>
      <c r="D1316" s="163"/>
      <c r="E1316" s="163"/>
      <c r="F1316" s="163"/>
      <c r="G1316" s="163"/>
      <c r="H1316" s="163"/>
      <c r="I1316" s="163"/>
      <c r="J1316" s="163"/>
      <c r="K1316" s="163"/>
      <c r="L1316" s="163"/>
      <c r="M1316" s="163"/>
      <c r="N1316" s="163"/>
      <c r="O1316" s="163"/>
      <c r="P1316" s="163"/>
      <c r="Q1316" s="163"/>
      <c r="R1316" s="163"/>
      <c r="S1316" s="163"/>
      <c r="T1316" s="163"/>
      <c r="U1316" s="178" t="s">
        <v>2210</v>
      </c>
      <c r="V1316" s="165"/>
      <c r="W1316" s="451">
        <v>62588421.159999996</v>
      </c>
      <c r="X1316" s="165"/>
      <c r="Y1316" s="165"/>
    </row>
    <row r="1317" spans="1:25">
      <c r="A1317" s="162"/>
      <c r="B1317" s="163"/>
      <c r="C1317" s="163"/>
      <c r="D1317" s="163"/>
      <c r="E1317" s="163"/>
      <c r="F1317" s="163"/>
      <c r="G1317" s="163"/>
      <c r="H1317" s="163"/>
      <c r="I1317" s="163"/>
      <c r="J1317" s="163"/>
      <c r="K1317" s="163"/>
      <c r="L1317" s="163"/>
      <c r="M1317" s="163"/>
      <c r="N1317" s="163"/>
      <c r="O1317" s="163"/>
      <c r="P1317" s="163"/>
      <c r="Q1317" s="163"/>
      <c r="R1317" s="163"/>
      <c r="S1317" s="163"/>
      <c r="T1317" s="163"/>
      <c r="U1317" s="178" t="s">
        <v>1606</v>
      </c>
      <c r="V1317" s="165"/>
      <c r="W1317" s="451">
        <v>0</v>
      </c>
      <c r="X1317" s="165"/>
      <c r="Y1317" s="165"/>
    </row>
    <row r="1318" spans="1:25" ht="25.5">
      <c r="A1318" s="162"/>
      <c r="B1318" s="163"/>
      <c r="C1318" s="163"/>
      <c r="D1318" s="163"/>
      <c r="E1318" s="163"/>
      <c r="F1318" s="163"/>
      <c r="G1318" s="163"/>
      <c r="H1318" s="163"/>
      <c r="I1318" s="163"/>
      <c r="J1318" s="163"/>
      <c r="K1318" s="163"/>
      <c r="L1318" s="163"/>
      <c r="M1318" s="163"/>
      <c r="N1318" s="163"/>
      <c r="O1318" s="163"/>
      <c r="P1318" s="163"/>
      <c r="Q1318" s="163"/>
      <c r="R1318" s="163"/>
      <c r="S1318" s="163"/>
      <c r="T1318" s="163"/>
      <c r="U1318" s="178" t="s">
        <v>2211</v>
      </c>
      <c r="V1318" s="165"/>
      <c r="W1318" s="451">
        <v>0</v>
      </c>
      <c r="X1318" s="375">
        <v>200000000</v>
      </c>
      <c r="Y1318" s="165"/>
    </row>
    <row r="1319" spans="1:25">
      <c r="A1319" s="162"/>
      <c r="B1319" s="163"/>
      <c r="C1319" s="163"/>
      <c r="D1319" s="163"/>
      <c r="E1319" s="163"/>
      <c r="F1319" s="163"/>
      <c r="G1319" s="163"/>
      <c r="H1319" s="163"/>
      <c r="I1319" s="163"/>
      <c r="J1319" s="163"/>
      <c r="K1319" s="163"/>
      <c r="L1319" s="163"/>
      <c r="M1319" s="163"/>
      <c r="N1319" s="163"/>
      <c r="O1319" s="163"/>
      <c r="P1319" s="163"/>
      <c r="Q1319" s="163"/>
      <c r="R1319" s="163"/>
      <c r="S1319" s="163"/>
      <c r="T1319" s="163"/>
      <c r="U1319" s="178" t="s">
        <v>2115</v>
      </c>
      <c r="V1319" s="165"/>
      <c r="W1319" s="451">
        <v>91132342.060000002</v>
      </c>
      <c r="X1319" s="375">
        <v>20000000</v>
      </c>
      <c r="Y1319" s="165"/>
    </row>
    <row r="1320" spans="1:25">
      <c r="A1320" s="162"/>
      <c r="B1320" s="163"/>
      <c r="C1320" s="163"/>
      <c r="D1320" s="163"/>
      <c r="E1320" s="163"/>
      <c r="F1320" s="163"/>
      <c r="G1320" s="163"/>
      <c r="H1320" s="163"/>
      <c r="I1320" s="163"/>
      <c r="J1320" s="163"/>
      <c r="K1320" s="163"/>
      <c r="L1320" s="163"/>
      <c r="M1320" s="163"/>
      <c r="N1320" s="163"/>
      <c r="O1320" s="163"/>
      <c r="P1320" s="163"/>
      <c r="Q1320" s="163"/>
      <c r="R1320" s="163"/>
      <c r="S1320" s="163"/>
      <c r="T1320" s="163"/>
      <c r="U1320" s="178" t="s">
        <v>2525</v>
      </c>
      <c r="V1320" s="165">
        <v>61472000</v>
      </c>
      <c r="W1320" s="451">
        <v>0</v>
      </c>
      <c r="X1320" s="165"/>
      <c r="Y1320" s="165"/>
    </row>
    <row r="1321" spans="1:25">
      <c r="A1321" s="162"/>
      <c r="B1321" s="163"/>
      <c r="C1321" s="163"/>
      <c r="D1321" s="163"/>
      <c r="E1321" s="163"/>
      <c r="F1321" s="163"/>
      <c r="G1321" s="163"/>
      <c r="H1321" s="163"/>
      <c r="I1321" s="163"/>
      <c r="J1321" s="163"/>
      <c r="K1321" s="163"/>
      <c r="L1321" s="163"/>
      <c r="M1321" s="163"/>
      <c r="N1321" s="163"/>
      <c r="O1321" s="163"/>
      <c r="P1321" s="163"/>
      <c r="Q1321" s="163"/>
      <c r="R1321" s="163"/>
      <c r="S1321" s="163"/>
      <c r="T1321" s="163"/>
      <c r="U1321" s="178" t="s">
        <v>1607</v>
      </c>
      <c r="V1321" s="165">
        <v>1200000000</v>
      </c>
      <c r="W1321" s="451">
        <v>0</v>
      </c>
      <c r="X1321" s="165"/>
      <c r="Y1321" s="165"/>
    </row>
    <row r="1322" spans="1:25">
      <c r="A1322" s="162"/>
      <c r="B1322" s="163"/>
      <c r="C1322" s="163"/>
      <c r="D1322" s="163"/>
      <c r="E1322" s="163"/>
      <c r="F1322" s="163"/>
      <c r="G1322" s="163"/>
      <c r="H1322" s="163"/>
      <c r="I1322" s="163"/>
      <c r="J1322" s="163"/>
      <c r="K1322" s="163"/>
      <c r="L1322" s="163"/>
      <c r="M1322" s="163"/>
      <c r="N1322" s="163"/>
      <c r="O1322" s="163"/>
      <c r="P1322" s="163"/>
      <c r="Q1322" s="163"/>
      <c r="R1322" s="163"/>
      <c r="S1322" s="163"/>
      <c r="T1322" s="163"/>
      <c r="U1322" s="178" t="s">
        <v>2212</v>
      </c>
      <c r="V1322" s="165"/>
      <c r="W1322" s="451">
        <v>0</v>
      </c>
      <c r="X1322" s="375">
        <v>700000</v>
      </c>
      <c r="Y1322" s="165"/>
    </row>
    <row r="1323" spans="1:25">
      <c r="A1323" s="162"/>
      <c r="B1323" s="163"/>
      <c r="C1323" s="163"/>
      <c r="D1323" s="163"/>
      <c r="E1323" s="163"/>
      <c r="F1323" s="163"/>
      <c r="G1323" s="163"/>
      <c r="H1323" s="163"/>
      <c r="I1323" s="163"/>
      <c r="J1323" s="163"/>
      <c r="K1323" s="163"/>
      <c r="L1323" s="163"/>
      <c r="M1323" s="163"/>
      <c r="N1323" s="163"/>
      <c r="O1323" s="163"/>
      <c r="P1323" s="163"/>
      <c r="Q1323" s="163"/>
      <c r="R1323" s="163"/>
      <c r="S1323" s="163"/>
      <c r="T1323" s="163"/>
      <c r="U1323" s="178" t="s">
        <v>2116</v>
      </c>
      <c r="V1323" s="165"/>
      <c r="W1323" s="451">
        <v>0</v>
      </c>
      <c r="X1323" s="375">
        <v>20000000</v>
      </c>
      <c r="Y1323" s="165"/>
    </row>
    <row r="1324" spans="1:25" ht="25.5">
      <c r="A1324" s="162"/>
      <c r="B1324" s="163"/>
      <c r="C1324" s="163"/>
      <c r="D1324" s="163"/>
      <c r="E1324" s="163"/>
      <c r="F1324" s="163"/>
      <c r="G1324" s="163"/>
      <c r="H1324" s="163"/>
      <c r="I1324" s="163"/>
      <c r="J1324" s="163"/>
      <c r="K1324" s="163"/>
      <c r="L1324" s="163"/>
      <c r="M1324" s="163"/>
      <c r="N1324" s="163"/>
      <c r="O1324" s="163"/>
      <c r="P1324" s="163"/>
      <c r="Q1324" s="163"/>
      <c r="R1324" s="163"/>
      <c r="S1324" s="163"/>
      <c r="T1324" s="163"/>
      <c r="U1324" s="178" t="s">
        <v>2213</v>
      </c>
      <c r="V1324" s="165"/>
      <c r="W1324" s="451">
        <v>0</v>
      </c>
      <c r="X1324" s="375">
        <v>400000000</v>
      </c>
      <c r="Y1324" s="165"/>
    </row>
    <row r="1325" spans="1:25" s="184" customFormat="1">
      <c r="A1325" s="181"/>
      <c r="B1325" s="182"/>
      <c r="C1325" s="182"/>
      <c r="D1325" s="182"/>
      <c r="E1325" s="182"/>
      <c r="F1325" s="182"/>
      <c r="G1325" s="182"/>
      <c r="H1325" s="182"/>
      <c r="I1325" s="182"/>
      <c r="J1325" s="182"/>
      <c r="K1325" s="182"/>
      <c r="L1325" s="182"/>
      <c r="M1325" s="182"/>
      <c r="N1325" s="182"/>
      <c r="O1325" s="182"/>
      <c r="P1325" s="182"/>
      <c r="Q1325" s="182"/>
      <c r="R1325" s="182"/>
      <c r="S1325" s="182"/>
      <c r="T1325" s="182"/>
      <c r="U1325" s="183"/>
      <c r="V1325" s="168">
        <f>SUM(V1306:V1324)</f>
        <v>3682939890</v>
      </c>
      <c r="W1325" s="334">
        <f t="shared" ref="W1325:Y1325" si="138">SUM(W1306:W1324)</f>
        <v>3924454735.4199996</v>
      </c>
      <c r="X1325" s="168">
        <f t="shared" si="138"/>
        <v>640700000</v>
      </c>
      <c r="Y1325" s="168">
        <f t="shared" si="138"/>
        <v>0</v>
      </c>
    </row>
    <row r="1327" spans="1:25">
      <c r="U1327" s="185" t="s">
        <v>1608</v>
      </c>
    </row>
    <row r="1328" spans="1:25">
      <c r="U1328" s="444" t="s">
        <v>1605</v>
      </c>
      <c r="V1328" s="262">
        <v>131434125</v>
      </c>
    </row>
    <row r="1330" spans="1:25">
      <c r="U1330" s="144" t="s">
        <v>2181</v>
      </c>
      <c r="V1330" s="262">
        <v>3793020610.4199996</v>
      </c>
    </row>
    <row r="1331" spans="1:25" ht="26.25">
      <c r="A1331" s="175" t="s">
        <v>1609</v>
      </c>
      <c r="B1331" s="176"/>
      <c r="C1331" s="176"/>
      <c r="D1331" s="176"/>
      <c r="E1331" s="176"/>
      <c r="F1331" s="176"/>
      <c r="G1331" s="176"/>
      <c r="H1331" s="176"/>
      <c r="I1331" s="176"/>
      <c r="J1331" s="176"/>
      <c r="K1331" s="176"/>
      <c r="L1331" s="176"/>
      <c r="M1331" s="176"/>
      <c r="N1331" s="176"/>
      <c r="O1331" s="176"/>
      <c r="P1331" s="176"/>
      <c r="Q1331" s="176"/>
      <c r="R1331" s="176"/>
      <c r="S1331" s="176"/>
      <c r="T1331" s="176"/>
      <c r="U1331" s="176"/>
      <c r="V1331" s="176"/>
      <c r="W1331" s="345"/>
      <c r="X1331" s="176"/>
      <c r="Y1331" s="176"/>
    </row>
    <row r="1332" spans="1:25">
      <c r="A1332" s="162"/>
      <c r="B1332" s="163"/>
      <c r="C1332" s="163"/>
      <c r="D1332" s="163"/>
      <c r="E1332" s="163"/>
      <c r="F1332" s="163"/>
      <c r="G1332" s="163"/>
      <c r="H1332" s="163"/>
      <c r="I1332" s="163"/>
      <c r="J1332" s="163"/>
      <c r="K1332" s="163"/>
      <c r="L1332" s="163"/>
      <c r="M1332" s="163"/>
      <c r="N1332" s="163"/>
      <c r="O1332" s="163"/>
      <c r="P1332" s="163"/>
      <c r="Q1332" s="163"/>
      <c r="R1332" s="163"/>
      <c r="S1332" s="163"/>
      <c r="T1332" s="163"/>
      <c r="U1332" s="178" t="s">
        <v>2526</v>
      </c>
      <c r="V1332" s="165"/>
      <c r="W1332" s="451">
        <v>0</v>
      </c>
      <c r="X1332" s="165"/>
      <c r="Y1332" s="165"/>
    </row>
    <row r="1333" spans="1:25">
      <c r="A1333" s="162"/>
      <c r="B1333" s="163"/>
      <c r="C1333" s="163"/>
      <c r="D1333" s="163"/>
      <c r="E1333" s="163"/>
      <c r="F1333" s="163"/>
      <c r="G1333" s="163"/>
      <c r="H1333" s="163"/>
      <c r="I1333" s="163"/>
      <c r="J1333" s="163"/>
      <c r="K1333" s="163"/>
      <c r="L1333" s="163"/>
      <c r="M1333" s="163"/>
      <c r="N1333" s="163"/>
      <c r="O1333" s="163"/>
      <c r="P1333" s="163"/>
      <c r="Q1333" s="163"/>
      <c r="R1333" s="163"/>
      <c r="S1333" s="163"/>
      <c r="T1333" s="163"/>
      <c r="U1333" s="178" t="s">
        <v>1979</v>
      </c>
      <c r="V1333" s="165"/>
      <c r="W1333" s="451">
        <v>0</v>
      </c>
      <c r="X1333" s="165"/>
      <c r="Y1333" s="165"/>
    </row>
    <row r="1334" spans="1:25" ht="25.5">
      <c r="A1334" s="162"/>
      <c r="B1334" s="163"/>
      <c r="C1334" s="163"/>
      <c r="D1334" s="163"/>
      <c r="E1334" s="163"/>
      <c r="F1334" s="163"/>
      <c r="G1334" s="163"/>
      <c r="H1334" s="163"/>
      <c r="I1334" s="163"/>
      <c r="J1334" s="163"/>
      <c r="K1334" s="163"/>
      <c r="L1334" s="163"/>
      <c r="M1334" s="163"/>
      <c r="N1334" s="163"/>
      <c r="O1334" s="163"/>
      <c r="P1334" s="163"/>
      <c r="Q1334" s="163"/>
      <c r="R1334" s="163"/>
      <c r="S1334" s="163"/>
      <c r="T1334" s="163"/>
      <c r="U1334" s="178" t="s">
        <v>2527</v>
      </c>
      <c r="V1334" s="165"/>
      <c r="W1334" s="451">
        <v>0</v>
      </c>
      <c r="X1334" s="165"/>
      <c r="Y1334" s="165"/>
    </row>
    <row r="1335" spans="1:25">
      <c r="A1335" s="162"/>
      <c r="B1335" s="163"/>
      <c r="C1335" s="163"/>
      <c r="D1335" s="163"/>
      <c r="E1335" s="163"/>
      <c r="F1335" s="163"/>
      <c r="G1335" s="163"/>
      <c r="H1335" s="163"/>
      <c r="I1335" s="163"/>
      <c r="J1335" s="163"/>
      <c r="K1335" s="163"/>
      <c r="L1335" s="163"/>
      <c r="M1335" s="163"/>
      <c r="N1335" s="163"/>
      <c r="O1335" s="163"/>
      <c r="P1335" s="163"/>
      <c r="Q1335" s="163"/>
      <c r="R1335" s="163"/>
      <c r="S1335" s="163"/>
      <c r="T1335" s="163"/>
      <c r="U1335" s="178" t="s">
        <v>2528</v>
      </c>
      <c r="V1335" s="165"/>
      <c r="W1335" s="451">
        <v>0</v>
      </c>
      <c r="X1335" s="165"/>
      <c r="Y1335" s="165"/>
    </row>
    <row r="1336" spans="1:25">
      <c r="A1336" s="162"/>
      <c r="B1336" s="163"/>
      <c r="C1336" s="163"/>
      <c r="D1336" s="163"/>
      <c r="E1336" s="163"/>
      <c r="F1336" s="163"/>
      <c r="G1336" s="163"/>
      <c r="H1336" s="163"/>
      <c r="I1336" s="163"/>
      <c r="J1336" s="163"/>
      <c r="K1336" s="163"/>
      <c r="L1336" s="163"/>
      <c r="M1336" s="163"/>
      <c r="N1336" s="163"/>
      <c r="O1336" s="163"/>
      <c r="P1336" s="163"/>
      <c r="Q1336" s="163"/>
      <c r="R1336" s="163"/>
      <c r="S1336" s="163"/>
      <c r="T1336" s="163"/>
      <c r="U1336" s="178" t="s">
        <v>1980</v>
      </c>
      <c r="V1336" s="165"/>
      <c r="W1336" s="451">
        <v>0</v>
      </c>
      <c r="X1336" s="165"/>
      <c r="Y1336" s="165"/>
    </row>
    <row r="1337" spans="1:25">
      <c r="A1337" s="162"/>
      <c r="B1337" s="163"/>
      <c r="C1337" s="163"/>
      <c r="D1337" s="163"/>
      <c r="E1337" s="163"/>
      <c r="F1337" s="163"/>
      <c r="G1337" s="163"/>
      <c r="H1337" s="163"/>
      <c r="I1337" s="163"/>
      <c r="J1337" s="163"/>
      <c r="K1337" s="163"/>
      <c r="L1337" s="163"/>
      <c r="M1337" s="163"/>
      <c r="N1337" s="163"/>
      <c r="O1337" s="163"/>
      <c r="P1337" s="163"/>
      <c r="Q1337" s="163"/>
      <c r="R1337" s="163"/>
      <c r="S1337" s="163"/>
      <c r="T1337" s="163"/>
      <c r="U1337" s="178" t="s">
        <v>1981</v>
      </c>
      <c r="V1337" s="165"/>
      <c r="W1337" s="451">
        <v>0</v>
      </c>
      <c r="X1337" s="165"/>
      <c r="Y1337" s="165"/>
    </row>
    <row r="1338" spans="1:25" ht="25.5">
      <c r="A1338" s="162"/>
      <c r="B1338" s="163"/>
      <c r="C1338" s="163"/>
      <c r="D1338" s="163"/>
      <c r="E1338" s="163"/>
      <c r="F1338" s="163"/>
      <c r="G1338" s="163"/>
      <c r="H1338" s="163"/>
      <c r="I1338" s="163"/>
      <c r="J1338" s="163"/>
      <c r="K1338" s="163"/>
      <c r="L1338" s="163"/>
      <c r="M1338" s="163"/>
      <c r="N1338" s="163"/>
      <c r="O1338" s="163"/>
      <c r="P1338" s="163"/>
      <c r="Q1338" s="163"/>
      <c r="R1338" s="163"/>
      <c r="S1338" s="163"/>
      <c r="T1338" s="163"/>
      <c r="U1338" s="178" t="s">
        <v>1982</v>
      </c>
      <c r="V1338" s="165"/>
      <c r="W1338" s="451">
        <v>0</v>
      </c>
      <c r="X1338" s="165"/>
      <c r="Y1338" s="165"/>
    </row>
    <row r="1339" spans="1:25" ht="25.5">
      <c r="A1339" s="162"/>
      <c r="B1339" s="163"/>
      <c r="C1339" s="163"/>
      <c r="D1339" s="163"/>
      <c r="E1339" s="163"/>
      <c r="F1339" s="163"/>
      <c r="G1339" s="163"/>
      <c r="H1339" s="163"/>
      <c r="I1339" s="163"/>
      <c r="J1339" s="163"/>
      <c r="K1339" s="163"/>
      <c r="L1339" s="163"/>
      <c r="M1339" s="163"/>
      <c r="N1339" s="163"/>
      <c r="O1339" s="163"/>
      <c r="P1339" s="163"/>
      <c r="Q1339" s="163"/>
      <c r="R1339" s="163"/>
      <c r="S1339" s="163"/>
      <c r="T1339" s="163"/>
      <c r="U1339" s="178" t="s">
        <v>1983</v>
      </c>
      <c r="V1339" s="165"/>
      <c r="W1339" s="451">
        <v>0</v>
      </c>
      <c r="X1339" s="165"/>
      <c r="Y1339" s="165"/>
    </row>
    <row r="1340" spans="1:25" ht="25.5">
      <c r="A1340" s="162"/>
      <c r="B1340" s="163"/>
      <c r="C1340" s="163"/>
      <c r="D1340" s="163"/>
      <c r="E1340" s="163"/>
      <c r="F1340" s="163"/>
      <c r="G1340" s="163"/>
      <c r="H1340" s="163"/>
      <c r="I1340" s="163"/>
      <c r="J1340" s="163"/>
      <c r="K1340" s="163"/>
      <c r="L1340" s="163"/>
      <c r="M1340" s="163"/>
      <c r="N1340" s="163"/>
      <c r="O1340" s="163"/>
      <c r="P1340" s="163"/>
      <c r="Q1340" s="163"/>
      <c r="R1340" s="163"/>
      <c r="S1340" s="163"/>
      <c r="T1340" s="163"/>
      <c r="U1340" s="178" t="s">
        <v>1984</v>
      </c>
      <c r="V1340" s="165"/>
      <c r="W1340" s="451">
        <v>0</v>
      </c>
      <c r="X1340" s="165"/>
      <c r="Y1340" s="165"/>
    </row>
    <row r="1341" spans="1:25">
      <c r="A1341" s="162"/>
      <c r="B1341" s="163"/>
      <c r="C1341" s="163"/>
      <c r="D1341" s="163"/>
      <c r="E1341" s="163"/>
      <c r="F1341" s="163"/>
      <c r="G1341" s="163"/>
      <c r="H1341" s="163"/>
      <c r="I1341" s="163"/>
      <c r="J1341" s="163"/>
      <c r="K1341" s="163"/>
      <c r="L1341" s="163"/>
      <c r="M1341" s="163"/>
      <c r="N1341" s="163"/>
      <c r="O1341" s="163"/>
      <c r="P1341" s="163"/>
      <c r="Q1341" s="163"/>
      <c r="R1341" s="163"/>
      <c r="S1341" s="163"/>
      <c r="T1341" s="163"/>
      <c r="U1341" s="178" t="s">
        <v>1985</v>
      </c>
      <c r="V1341" s="165"/>
      <c r="W1341" s="451">
        <v>0</v>
      </c>
      <c r="X1341" s="165"/>
      <c r="Y1341" s="165"/>
    </row>
    <row r="1342" spans="1:25">
      <c r="A1342" s="162"/>
      <c r="B1342" s="163"/>
      <c r="C1342" s="163"/>
      <c r="D1342" s="163"/>
      <c r="E1342" s="163"/>
      <c r="F1342" s="163"/>
      <c r="G1342" s="163"/>
      <c r="H1342" s="163"/>
      <c r="I1342" s="163"/>
      <c r="J1342" s="163"/>
      <c r="K1342" s="163"/>
      <c r="L1342" s="163"/>
      <c r="M1342" s="163"/>
      <c r="N1342" s="163"/>
      <c r="O1342" s="163"/>
      <c r="P1342" s="163"/>
      <c r="Q1342" s="163"/>
      <c r="R1342" s="163"/>
      <c r="S1342" s="163"/>
      <c r="T1342" s="163"/>
      <c r="U1342" s="178" t="s">
        <v>1986</v>
      </c>
      <c r="V1342" s="165"/>
      <c r="W1342" s="451">
        <v>0</v>
      </c>
      <c r="X1342" s="165"/>
      <c r="Y1342" s="165"/>
    </row>
    <row r="1343" spans="1:25" ht="25.5">
      <c r="A1343" s="162"/>
      <c r="B1343" s="163"/>
      <c r="C1343" s="163"/>
      <c r="D1343" s="163"/>
      <c r="E1343" s="163"/>
      <c r="F1343" s="163"/>
      <c r="G1343" s="163"/>
      <c r="H1343" s="163"/>
      <c r="I1343" s="163"/>
      <c r="J1343" s="163"/>
      <c r="K1343" s="163"/>
      <c r="L1343" s="163"/>
      <c r="M1343" s="163"/>
      <c r="N1343" s="163"/>
      <c r="O1343" s="163"/>
      <c r="P1343" s="163"/>
      <c r="Q1343" s="163"/>
      <c r="R1343" s="163"/>
      <c r="S1343" s="163"/>
      <c r="T1343" s="163"/>
      <c r="U1343" s="178" t="s">
        <v>1987</v>
      </c>
      <c r="V1343" s="165"/>
      <c r="W1343" s="451">
        <v>0</v>
      </c>
      <c r="X1343" s="165"/>
      <c r="Y1343" s="165"/>
    </row>
    <row r="1344" spans="1:25">
      <c r="A1344" s="162"/>
      <c r="B1344" s="163"/>
      <c r="C1344" s="163"/>
      <c r="D1344" s="163"/>
      <c r="E1344" s="163"/>
      <c r="F1344" s="163"/>
      <c r="G1344" s="163"/>
      <c r="H1344" s="163"/>
      <c r="I1344" s="163"/>
      <c r="J1344" s="163"/>
      <c r="K1344" s="163"/>
      <c r="L1344" s="163"/>
      <c r="M1344" s="163"/>
      <c r="N1344" s="163"/>
      <c r="O1344" s="163"/>
      <c r="P1344" s="163"/>
      <c r="Q1344" s="163"/>
      <c r="R1344" s="163"/>
      <c r="S1344" s="163"/>
      <c r="T1344" s="163"/>
      <c r="U1344" s="178" t="s">
        <v>1988</v>
      </c>
      <c r="V1344" s="165"/>
      <c r="W1344" s="451">
        <v>0</v>
      </c>
      <c r="X1344" s="165"/>
      <c r="Y1344" s="165"/>
    </row>
    <row r="1345" spans="1:25" ht="25.5">
      <c r="A1345" s="162"/>
      <c r="B1345" s="163"/>
      <c r="C1345" s="163"/>
      <c r="D1345" s="163"/>
      <c r="E1345" s="163"/>
      <c r="F1345" s="163"/>
      <c r="G1345" s="163"/>
      <c r="H1345" s="163"/>
      <c r="I1345" s="163"/>
      <c r="J1345" s="163"/>
      <c r="K1345" s="163"/>
      <c r="L1345" s="163"/>
      <c r="M1345" s="163"/>
      <c r="N1345" s="163"/>
      <c r="O1345" s="163"/>
      <c r="P1345" s="163"/>
      <c r="Q1345" s="163"/>
      <c r="R1345" s="163"/>
      <c r="S1345" s="163"/>
      <c r="T1345" s="163"/>
      <c r="U1345" s="178" t="s">
        <v>1989</v>
      </c>
      <c r="V1345" s="165"/>
      <c r="W1345" s="451">
        <v>0</v>
      </c>
      <c r="X1345" s="165"/>
      <c r="Y1345" s="165"/>
    </row>
    <row r="1346" spans="1:25" ht="25.5">
      <c r="A1346" s="162"/>
      <c r="B1346" s="163"/>
      <c r="C1346" s="163"/>
      <c r="D1346" s="163"/>
      <c r="E1346" s="163"/>
      <c r="F1346" s="163"/>
      <c r="G1346" s="163"/>
      <c r="H1346" s="163"/>
      <c r="I1346" s="163"/>
      <c r="J1346" s="163"/>
      <c r="K1346" s="163"/>
      <c r="L1346" s="163"/>
      <c r="M1346" s="163"/>
      <c r="N1346" s="163"/>
      <c r="O1346" s="163"/>
      <c r="P1346" s="163"/>
      <c r="Q1346" s="163"/>
      <c r="R1346" s="163"/>
      <c r="S1346" s="163"/>
      <c r="T1346" s="163"/>
      <c r="U1346" s="178" t="s">
        <v>1990</v>
      </c>
      <c r="V1346" s="165"/>
      <c r="W1346" s="451">
        <v>0</v>
      </c>
      <c r="X1346" s="165"/>
      <c r="Y1346" s="165"/>
    </row>
    <row r="1347" spans="1:25">
      <c r="A1347" s="162"/>
      <c r="B1347" s="163"/>
      <c r="C1347" s="163"/>
      <c r="D1347" s="163"/>
      <c r="E1347" s="163"/>
      <c r="F1347" s="163"/>
      <c r="G1347" s="163"/>
      <c r="H1347" s="163"/>
      <c r="I1347" s="163"/>
      <c r="J1347" s="163"/>
      <c r="K1347" s="163"/>
      <c r="L1347" s="163"/>
      <c r="M1347" s="163"/>
      <c r="N1347" s="163"/>
      <c r="O1347" s="163"/>
      <c r="P1347" s="163"/>
      <c r="Q1347" s="163"/>
      <c r="R1347" s="163"/>
      <c r="S1347" s="163"/>
      <c r="T1347" s="163"/>
      <c r="U1347" s="178" t="s">
        <v>1991</v>
      </c>
      <c r="V1347" s="165"/>
      <c r="W1347" s="451">
        <v>0</v>
      </c>
      <c r="X1347" s="165"/>
      <c r="Y1347" s="165"/>
    </row>
    <row r="1348" spans="1:25">
      <c r="A1348" s="162"/>
      <c r="B1348" s="163"/>
      <c r="C1348" s="163"/>
      <c r="D1348" s="163"/>
      <c r="E1348" s="163"/>
      <c r="F1348" s="163"/>
      <c r="G1348" s="163"/>
      <c r="H1348" s="163"/>
      <c r="I1348" s="163"/>
      <c r="J1348" s="163"/>
      <c r="K1348" s="163"/>
      <c r="L1348" s="163"/>
      <c r="M1348" s="163"/>
      <c r="N1348" s="163"/>
      <c r="O1348" s="163"/>
      <c r="P1348" s="163"/>
      <c r="Q1348" s="163"/>
      <c r="R1348" s="163"/>
      <c r="S1348" s="163"/>
      <c r="T1348" s="163"/>
      <c r="U1348" s="178" t="s">
        <v>1992</v>
      </c>
      <c r="V1348" s="165"/>
      <c r="W1348" s="451">
        <v>0</v>
      </c>
      <c r="X1348" s="165"/>
      <c r="Y1348" s="165"/>
    </row>
    <row r="1349" spans="1:25">
      <c r="A1349" s="162"/>
      <c r="B1349" s="180"/>
      <c r="C1349" s="179"/>
      <c r="D1349" s="179"/>
      <c r="E1349" s="179"/>
      <c r="F1349" s="179"/>
      <c r="G1349" s="179"/>
      <c r="H1349" s="179"/>
      <c r="I1349" s="179"/>
      <c r="J1349" s="179"/>
      <c r="K1349" s="179"/>
      <c r="L1349" s="179"/>
      <c r="M1349" s="179"/>
      <c r="N1349" s="179"/>
      <c r="O1349" s="179"/>
      <c r="P1349" s="179"/>
      <c r="Q1349" s="179"/>
      <c r="R1349" s="179"/>
      <c r="S1349" s="179"/>
      <c r="T1349" s="179"/>
      <c r="U1349" s="170" t="s">
        <v>1610</v>
      </c>
      <c r="V1349" s="165">
        <v>460000000</v>
      </c>
      <c r="W1349" s="451">
        <v>460000000</v>
      </c>
      <c r="X1349" s="165">
        <v>250000000</v>
      </c>
      <c r="Y1349" s="165">
        <v>250000000</v>
      </c>
    </row>
    <row r="1350" spans="1:25" s="184" customFormat="1">
      <c r="A1350" s="181"/>
      <c r="B1350" s="182"/>
      <c r="C1350" s="182"/>
      <c r="D1350" s="182"/>
      <c r="E1350" s="182"/>
      <c r="F1350" s="182"/>
      <c r="G1350" s="182"/>
      <c r="H1350" s="182"/>
      <c r="I1350" s="182"/>
      <c r="J1350" s="182"/>
      <c r="K1350" s="182"/>
      <c r="L1350" s="182"/>
      <c r="M1350" s="182"/>
      <c r="N1350" s="182"/>
      <c r="O1350" s="182"/>
      <c r="P1350" s="182"/>
      <c r="Q1350" s="182"/>
      <c r="R1350" s="182"/>
      <c r="S1350" s="182"/>
      <c r="T1350" s="182"/>
      <c r="U1350" s="183"/>
      <c r="V1350" s="168">
        <f t="shared" ref="V1350:Y1350" si="139">SUM(V1332:V1349)</f>
        <v>460000000</v>
      </c>
      <c r="W1350" s="334">
        <f t="shared" si="139"/>
        <v>460000000</v>
      </c>
      <c r="X1350" s="334">
        <f t="shared" si="139"/>
        <v>250000000</v>
      </c>
      <c r="Y1350" s="334">
        <f t="shared" si="139"/>
        <v>250000000</v>
      </c>
    </row>
    <row r="1356" spans="1:25" ht="26.25">
      <c r="A1356" s="175" t="s">
        <v>2176</v>
      </c>
      <c r="B1356" s="176"/>
      <c r="C1356" s="176"/>
      <c r="D1356" s="176"/>
      <c r="E1356" s="176"/>
      <c r="F1356" s="176"/>
      <c r="G1356" s="176"/>
      <c r="H1356" s="176"/>
      <c r="I1356" s="176"/>
      <c r="J1356" s="176"/>
      <c r="K1356" s="176"/>
      <c r="L1356" s="176"/>
      <c r="M1356" s="176"/>
      <c r="N1356" s="176"/>
      <c r="O1356" s="176"/>
      <c r="P1356" s="176"/>
      <c r="Q1356" s="176"/>
      <c r="R1356" s="176"/>
      <c r="S1356" s="176"/>
      <c r="T1356" s="176"/>
      <c r="U1356" s="176"/>
      <c r="V1356" s="176"/>
      <c r="W1356" s="345"/>
      <c r="X1356" s="176"/>
      <c r="Y1356" s="176"/>
    </row>
    <row r="1357" spans="1:25">
      <c r="A1357" s="162"/>
      <c r="B1357" s="163"/>
      <c r="C1357" s="163"/>
      <c r="D1357" s="163"/>
      <c r="E1357" s="163"/>
      <c r="F1357" s="163"/>
      <c r="G1357" s="163"/>
      <c r="H1357" s="163"/>
      <c r="I1357" s="163"/>
      <c r="J1357" s="163"/>
      <c r="K1357" s="163"/>
      <c r="L1357" s="163"/>
      <c r="M1357" s="163"/>
      <c r="N1357" s="163"/>
      <c r="O1357" s="163"/>
      <c r="P1357" s="163"/>
      <c r="Q1357" s="163"/>
      <c r="R1357" s="163"/>
      <c r="S1357" s="163"/>
      <c r="T1357" s="163"/>
      <c r="U1357" s="178" t="s">
        <v>2529</v>
      </c>
      <c r="V1357" s="165">
        <v>20395000</v>
      </c>
      <c r="W1357" s="451">
        <v>0</v>
      </c>
      <c r="X1357" s="165"/>
      <c r="Y1357" s="165"/>
    </row>
    <row r="1358" spans="1:25">
      <c r="A1358" s="162"/>
      <c r="B1358" s="163"/>
      <c r="C1358" s="163"/>
      <c r="D1358" s="163"/>
      <c r="E1358" s="163"/>
      <c r="F1358" s="163"/>
      <c r="G1358" s="163"/>
      <c r="H1358" s="163"/>
      <c r="I1358" s="163"/>
      <c r="J1358" s="163"/>
      <c r="K1358" s="163"/>
      <c r="L1358" s="163"/>
      <c r="M1358" s="163"/>
      <c r="N1358" s="163"/>
      <c r="O1358" s="163"/>
      <c r="P1358" s="163"/>
      <c r="Q1358" s="163"/>
      <c r="R1358" s="163"/>
      <c r="S1358" s="163"/>
      <c r="T1358" s="163"/>
      <c r="U1358" s="178" t="s">
        <v>2530</v>
      </c>
      <c r="V1358" s="165">
        <v>4330000</v>
      </c>
      <c r="W1358" s="451">
        <v>0</v>
      </c>
      <c r="X1358" s="165"/>
      <c r="Y1358" s="165"/>
    </row>
    <row r="1359" spans="1:25">
      <c r="A1359" s="162"/>
      <c r="B1359" s="163"/>
      <c r="C1359" s="163"/>
      <c r="D1359" s="163"/>
      <c r="E1359" s="163"/>
      <c r="F1359" s="163"/>
      <c r="G1359" s="163"/>
      <c r="H1359" s="163"/>
      <c r="I1359" s="163"/>
      <c r="J1359" s="163"/>
      <c r="K1359" s="163"/>
      <c r="L1359" s="163"/>
      <c r="M1359" s="163"/>
      <c r="N1359" s="163"/>
      <c r="O1359" s="163"/>
      <c r="P1359" s="163"/>
      <c r="Q1359" s="163"/>
      <c r="R1359" s="163"/>
      <c r="S1359" s="163"/>
      <c r="T1359" s="163"/>
      <c r="U1359" s="178" t="s">
        <v>2531</v>
      </c>
      <c r="V1359" s="165"/>
      <c r="W1359" s="451">
        <v>0</v>
      </c>
      <c r="X1359" s="165"/>
      <c r="Y1359" s="165"/>
    </row>
    <row r="1360" spans="1:25">
      <c r="A1360" s="162"/>
      <c r="B1360" s="163"/>
      <c r="C1360" s="163"/>
      <c r="D1360" s="163"/>
      <c r="E1360" s="163"/>
      <c r="F1360" s="163"/>
      <c r="G1360" s="163"/>
      <c r="H1360" s="163"/>
      <c r="I1360" s="163"/>
      <c r="J1360" s="163"/>
      <c r="K1360" s="163"/>
      <c r="L1360" s="163"/>
      <c r="M1360" s="163"/>
      <c r="N1360" s="163"/>
      <c r="O1360" s="163"/>
      <c r="P1360" s="163"/>
      <c r="Q1360" s="163"/>
      <c r="R1360" s="163"/>
      <c r="S1360" s="163"/>
      <c r="T1360" s="163"/>
      <c r="U1360" s="178" t="s">
        <v>2532</v>
      </c>
      <c r="V1360" s="165">
        <v>10000000</v>
      </c>
      <c r="W1360" s="451">
        <v>0</v>
      </c>
      <c r="X1360" s="165"/>
      <c r="Y1360" s="165"/>
    </row>
    <row r="1361" spans="1:25" ht="25.5">
      <c r="A1361" s="162"/>
      <c r="B1361" s="163"/>
      <c r="C1361" s="163"/>
      <c r="D1361" s="163"/>
      <c r="E1361" s="163"/>
      <c r="F1361" s="163"/>
      <c r="G1361" s="163"/>
      <c r="H1361" s="163"/>
      <c r="I1361" s="163"/>
      <c r="J1361" s="163"/>
      <c r="K1361" s="163"/>
      <c r="L1361" s="163"/>
      <c r="M1361" s="163"/>
      <c r="N1361" s="163"/>
      <c r="O1361" s="163"/>
      <c r="P1361" s="163"/>
      <c r="Q1361" s="163"/>
      <c r="R1361" s="163"/>
      <c r="S1361" s="163"/>
      <c r="T1361" s="163"/>
      <c r="U1361" s="178" t="s">
        <v>2533</v>
      </c>
      <c r="V1361" s="165">
        <v>680000</v>
      </c>
      <c r="W1361" s="451">
        <v>0</v>
      </c>
      <c r="X1361" s="165"/>
      <c r="Y1361" s="165"/>
    </row>
    <row r="1362" spans="1:25" ht="25.5">
      <c r="A1362" s="162"/>
      <c r="B1362" s="180"/>
      <c r="C1362" s="179"/>
      <c r="D1362" s="179"/>
      <c r="E1362" s="179"/>
      <c r="F1362" s="179"/>
      <c r="G1362" s="179"/>
      <c r="H1362" s="179"/>
      <c r="I1362" s="179"/>
      <c r="J1362" s="179"/>
      <c r="K1362" s="179"/>
      <c r="L1362" s="179"/>
      <c r="M1362" s="179"/>
      <c r="N1362" s="179"/>
      <c r="O1362" s="179"/>
      <c r="P1362" s="179"/>
      <c r="Q1362" s="179"/>
      <c r="R1362" s="179"/>
      <c r="S1362" s="180"/>
      <c r="T1362" s="179"/>
      <c r="U1362" s="170" t="s">
        <v>2534</v>
      </c>
      <c r="V1362" s="165">
        <v>13834800</v>
      </c>
      <c r="W1362" s="451">
        <v>0</v>
      </c>
      <c r="X1362" s="163"/>
      <c r="Y1362" s="163"/>
    </row>
    <row r="1363" spans="1:25" s="184" customFormat="1">
      <c r="A1363" s="181"/>
      <c r="B1363" s="182"/>
      <c r="C1363" s="182"/>
      <c r="D1363" s="182"/>
      <c r="E1363" s="182"/>
      <c r="F1363" s="182"/>
      <c r="G1363" s="182"/>
      <c r="H1363" s="182"/>
      <c r="I1363" s="182"/>
      <c r="J1363" s="182"/>
      <c r="K1363" s="182"/>
      <c r="L1363" s="182"/>
      <c r="M1363" s="182"/>
      <c r="N1363" s="182"/>
      <c r="O1363" s="182"/>
      <c r="P1363" s="182"/>
      <c r="Q1363" s="182"/>
      <c r="R1363" s="182"/>
      <c r="S1363" s="182"/>
      <c r="T1363" s="182"/>
      <c r="U1363" s="183"/>
      <c r="V1363" s="168">
        <f t="shared" ref="V1363:Y1363" si="140">SUM(V1357:V1362)</f>
        <v>49239800</v>
      </c>
      <c r="W1363" s="168">
        <f t="shared" si="140"/>
        <v>0</v>
      </c>
      <c r="X1363" s="168">
        <f t="shared" si="140"/>
        <v>0</v>
      </c>
      <c r="Y1363" s="168">
        <f t="shared" si="140"/>
        <v>0</v>
      </c>
    </row>
    <row r="1369" spans="1:25" ht="26.25">
      <c r="A1369" s="175" t="s">
        <v>160</v>
      </c>
      <c r="B1369" s="176"/>
      <c r="C1369" s="176"/>
      <c r="D1369" s="176"/>
      <c r="E1369" s="176"/>
      <c r="F1369" s="176"/>
      <c r="G1369" s="176"/>
      <c r="H1369" s="176"/>
      <c r="I1369" s="176"/>
      <c r="J1369" s="176"/>
      <c r="K1369" s="176"/>
      <c r="L1369" s="176"/>
      <c r="M1369" s="176"/>
      <c r="N1369" s="176"/>
      <c r="O1369" s="176"/>
      <c r="P1369" s="176"/>
      <c r="Q1369" s="176"/>
      <c r="R1369" s="176"/>
      <c r="S1369" s="176"/>
      <c r="T1369" s="176"/>
      <c r="U1369" s="176"/>
      <c r="V1369" s="176"/>
      <c r="W1369" s="345"/>
      <c r="X1369" s="176"/>
      <c r="Y1369" s="176"/>
    </row>
    <row r="1370" spans="1:25" ht="25.5">
      <c r="A1370" s="162"/>
      <c r="B1370" s="163"/>
      <c r="C1370" s="163"/>
      <c r="D1370" s="163"/>
      <c r="E1370" s="163"/>
      <c r="F1370" s="163"/>
      <c r="G1370" s="163"/>
      <c r="H1370" s="163"/>
      <c r="I1370" s="163"/>
      <c r="J1370" s="163"/>
      <c r="K1370" s="163"/>
      <c r="L1370" s="163"/>
      <c r="M1370" s="163"/>
      <c r="N1370" s="163"/>
      <c r="O1370" s="163"/>
      <c r="P1370" s="163"/>
      <c r="Q1370" s="163"/>
      <c r="R1370" s="163"/>
      <c r="S1370" s="163"/>
      <c r="T1370" s="163"/>
      <c r="U1370" s="178" t="s">
        <v>1611</v>
      </c>
      <c r="V1370" s="165">
        <v>2600015000</v>
      </c>
      <c r="W1370" s="451">
        <v>1789781578</v>
      </c>
      <c r="X1370" s="165">
        <v>0</v>
      </c>
      <c r="Y1370" s="165">
        <v>0</v>
      </c>
    </row>
    <row r="1371" spans="1:25">
      <c r="A1371" s="162"/>
      <c r="B1371" s="163"/>
      <c r="C1371" s="163"/>
      <c r="D1371" s="163"/>
      <c r="E1371" s="163"/>
      <c r="F1371" s="163"/>
      <c r="G1371" s="163"/>
      <c r="H1371" s="163"/>
      <c r="I1371" s="163"/>
      <c r="J1371" s="163"/>
      <c r="K1371" s="163"/>
      <c r="L1371" s="163"/>
      <c r="M1371" s="163"/>
      <c r="N1371" s="163"/>
      <c r="O1371" s="163"/>
      <c r="P1371" s="163"/>
      <c r="Q1371" s="163"/>
      <c r="R1371" s="163"/>
      <c r="S1371" s="163"/>
      <c r="T1371" s="163"/>
      <c r="U1371" s="178" t="s">
        <v>2535</v>
      </c>
      <c r="V1371" s="165"/>
      <c r="W1371" s="451">
        <v>0</v>
      </c>
      <c r="X1371" s="375">
        <v>70000000</v>
      </c>
      <c r="Y1371" s="165"/>
    </row>
    <row r="1372" spans="1:25" ht="25.5">
      <c r="A1372" s="162"/>
      <c r="B1372" s="163"/>
      <c r="C1372" s="163"/>
      <c r="D1372" s="163"/>
      <c r="E1372" s="163"/>
      <c r="F1372" s="163"/>
      <c r="G1372" s="163"/>
      <c r="H1372" s="163"/>
      <c r="I1372" s="163"/>
      <c r="J1372" s="163"/>
      <c r="K1372" s="163"/>
      <c r="L1372" s="163"/>
      <c r="M1372" s="163"/>
      <c r="N1372" s="163"/>
      <c r="O1372" s="163"/>
      <c r="P1372" s="163"/>
      <c r="Q1372" s="163"/>
      <c r="R1372" s="163"/>
      <c r="S1372" s="163"/>
      <c r="T1372" s="163"/>
      <c r="U1372" s="178" t="s">
        <v>2536</v>
      </c>
      <c r="V1372" s="165"/>
      <c r="W1372" s="451">
        <v>0</v>
      </c>
      <c r="X1372" s="375">
        <v>50000000</v>
      </c>
      <c r="Y1372" s="165"/>
    </row>
    <row r="1373" spans="1:25">
      <c r="A1373" s="162"/>
      <c r="B1373" s="163"/>
      <c r="C1373" s="163"/>
      <c r="D1373" s="163"/>
      <c r="E1373" s="163"/>
      <c r="F1373" s="163"/>
      <c r="G1373" s="163"/>
      <c r="H1373" s="163"/>
      <c r="I1373" s="163"/>
      <c r="J1373" s="163"/>
      <c r="K1373" s="163"/>
      <c r="L1373" s="163"/>
      <c r="M1373" s="163"/>
      <c r="N1373" s="163"/>
      <c r="O1373" s="163"/>
      <c r="P1373" s="163"/>
      <c r="Q1373" s="163"/>
      <c r="R1373" s="163"/>
      <c r="S1373" s="163"/>
      <c r="T1373" s="163"/>
      <c r="U1373" s="178" t="s">
        <v>2117</v>
      </c>
      <c r="V1373" s="165"/>
      <c r="W1373" s="451">
        <v>0</v>
      </c>
      <c r="X1373" s="375">
        <v>45000000</v>
      </c>
      <c r="Y1373" s="165"/>
    </row>
    <row r="1374" spans="1:25">
      <c r="A1374" s="162"/>
      <c r="B1374" s="163"/>
      <c r="C1374" s="163"/>
      <c r="D1374" s="163"/>
      <c r="E1374" s="163"/>
      <c r="F1374" s="163"/>
      <c r="G1374" s="163"/>
      <c r="H1374" s="163"/>
      <c r="I1374" s="163"/>
      <c r="J1374" s="163"/>
      <c r="K1374" s="163"/>
      <c r="L1374" s="163"/>
      <c r="M1374" s="163"/>
      <c r="N1374" s="163"/>
      <c r="O1374" s="163"/>
      <c r="P1374" s="163"/>
      <c r="Q1374" s="163"/>
      <c r="R1374" s="163"/>
      <c r="S1374" s="163"/>
      <c r="T1374" s="163"/>
      <c r="U1374" s="178" t="s">
        <v>2118</v>
      </c>
      <c r="V1374" s="165"/>
      <c r="W1374" s="451">
        <v>0</v>
      </c>
      <c r="X1374" s="375">
        <v>150000000</v>
      </c>
      <c r="Y1374" s="165"/>
    </row>
    <row r="1375" spans="1:25">
      <c r="A1375" s="162"/>
      <c r="B1375" s="163"/>
      <c r="C1375" s="163"/>
      <c r="D1375" s="163"/>
      <c r="E1375" s="163"/>
      <c r="F1375" s="163"/>
      <c r="G1375" s="163"/>
      <c r="H1375" s="163"/>
      <c r="I1375" s="163"/>
      <c r="J1375" s="163"/>
      <c r="K1375" s="163"/>
      <c r="L1375" s="163"/>
      <c r="M1375" s="163"/>
      <c r="N1375" s="163"/>
      <c r="O1375" s="163"/>
      <c r="P1375" s="163"/>
      <c r="Q1375" s="163"/>
      <c r="R1375" s="163"/>
      <c r="S1375" s="163"/>
      <c r="T1375" s="163"/>
      <c r="U1375" s="178" t="s">
        <v>2119</v>
      </c>
      <c r="V1375" s="165"/>
      <c r="W1375" s="451">
        <v>0</v>
      </c>
      <c r="X1375" s="375">
        <v>30000000</v>
      </c>
      <c r="Y1375" s="165"/>
    </row>
    <row r="1376" spans="1:25">
      <c r="A1376" s="162"/>
      <c r="B1376" s="163"/>
      <c r="C1376" s="163"/>
      <c r="D1376" s="163"/>
      <c r="E1376" s="163"/>
      <c r="F1376" s="163"/>
      <c r="G1376" s="163"/>
      <c r="H1376" s="163"/>
      <c r="I1376" s="163"/>
      <c r="J1376" s="163"/>
      <c r="K1376" s="163"/>
      <c r="L1376" s="163"/>
      <c r="M1376" s="163"/>
      <c r="N1376" s="163"/>
      <c r="O1376" s="163"/>
      <c r="P1376" s="163"/>
      <c r="Q1376" s="163"/>
      <c r="R1376" s="163"/>
      <c r="S1376" s="163"/>
      <c r="T1376" s="163"/>
      <c r="U1376" s="178" t="s">
        <v>2120</v>
      </c>
      <c r="V1376" s="165"/>
      <c r="W1376" s="451">
        <v>0</v>
      </c>
      <c r="X1376" s="375">
        <v>3000000</v>
      </c>
      <c r="Y1376" s="165"/>
    </row>
    <row r="1377" spans="1:25">
      <c r="A1377" s="162"/>
      <c r="B1377" s="163"/>
      <c r="C1377" s="163"/>
      <c r="D1377" s="163"/>
      <c r="E1377" s="163"/>
      <c r="F1377" s="163"/>
      <c r="G1377" s="163"/>
      <c r="H1377" s="163"/>
      <c r="I1377" s="163"/>
      <c r="J1377" s="163"/>
      <c r="K1377" s="163"/>
      <c r="L1377" s="163"/>
      <c r="M1377" s="163"/>
      <c r="N1377" s="163"/>
      <c r="O1377" s="163"/>
      <c r="P1377" s="163"/>
      <c r="Q1377" s="163"/>
      <c r="R1377" s="163"/>
      <c r="S1377" s="163"/>
      <c r="T1377" s="163"/>
      <c r="U1377" s="178" t="s">
        <v>2121</v>
      </c>
      <c r="V1377" s="165"/>
      <c r="W1377" s="451">
        <v>0</v>
      </c>
      <c r="X1377" s="284">
        <v>1000000</v>
      </c>
      <c r="Y1377" s="165"/>
    </row>
    <row r="1378" spans="1:25">
      <c r="A1378" s="162"/>
      <c r="B1378" s="163"/>
      <c r="C1378" s="163"/>
      <c r="D1378" s="163"/>
      <c r="E1378" s="163"/>
      <c r="F1378" s="163"/>
      <c r="G1378" s="163"/>
      <c r="H1378" s="163"/>
      <c r="I1378" s="163"/>
      <c r="J1378" s="163"/>
      <c r="K1378" s="163"/>
      <c r="L1378" s="163"/>
      <c r="M1378" s="163"/>
      <c r="N1378" s="163"/>
      <c r="O1378" s="163"/>
      <c r="P1378" s="163"/>
      <c r="Q1378" s="163"/>
      <c r="R1378" s="163"/>
      <c r="S1378" s="163"/>
      <c r="T1378" s="163"/>
      <c r="U1378" s="178" t="s">
        <v>2122</v>
      </c>
      <c r="V1378" s="165"/>
      <c r="W1378" s="451">
        <v>0</v>
      </c>
      <c r="X1378" s="375">
        <v>1000000</v>
      </c>
      <c r="Y1378" s="165"/>
    </row>
    <row r="1379" spans="1:25">
      <c r="A1379" s="162"/>
      <c r="B1379" s="163"/>
      <c r="C1379" s="163"/>
      <c r="D1379" s="163"/>
      <c r="E1379" s="163"/>
      <c r="F1379" s="163"/>
      <c r="G1379" s="163"/>
      <c r="H1379" s="163"/>
      <c r="I1379" s="163"/>
      <c r="J1379" s="163"/>
      <c r="K1379" s="163"/>
      <c r="L1379" s="163"/>
      <c r="M1379" s="163"/>
      <c r="N1379" s="163"/>
      <c r="O1379" s="163"/>
      <c r="P1379" s="163"/>
      <c r="Q1379" s="163"/>
      <c r="R1379" s="163"/>
      <c r="S1379" s="163"/>
      <c r="T1379" s="163"/>
      <c r="U1379" s="178" t="s">
        <v>2537</v>
      </c>
      <c r="V1379" s="165"/>
      <c r="W1379" s="451">
        <v>0</v>
      </c>
      <c r="X1379" s="375">
        <v>1000000</v>
      </c>
      <c r="Y1379" s="165"/>
    </row>
    <row r="1380" spans="1:25">
      <c r="A1380" s="162"/>
      <c r="B1380" s="163"/>
      <c r="C1380" s="163"/>
      <c r="D1380" s="163"/>
      <c r="E1380" s="163"/>
      <c r="F1380" s="163"/>
      <c r="G1380" s="163"/>
      <c r="H1380" s="163"/>
      <c r="I1380" s="163"/>
      <c r="J1380" s="163"/>
      <c r="K1380" s="163"/>
      <c r="L1380" s="163"/>
      <c r="M1380" s="163"/>
      <c r="N1380" s="163"/>
      <c r="O1380" s="163"/>
      <c r="P1380" s="163"/>
      <c r="Q1380" s="163"/>
      <c r="R1380" s="163"/>
      <c r="S1380" s="163"/>
      <c r="T1380" s="163"/>
      <c r="U1380" s="178" t="s">
        <v>2123</v>
      </c>
      <c r="V1380" s="165"/>
      <c r="W1380" s="451">
        <v>0</v>
      </c>
      <c r="X1380" s="375">
        <v>100000</v>
      </c>
      <c r="Y1380" s="165"/>
    </row>
    <row r="1381" spans="1:25" s="184" customFormat="1">
      <c r="A1381" s="181"/>
      <c r="B1381" s="182"/>
      <c r="C1381" s="182"/>
      <c r="D1381" s="182"/>
      <c r="E1381" s="182"/>
      <c r="F1381" s="182"/>
      <c r="G1381" s="182"/>
      <c r="H1381" s="182"/>
      <c r="I1381" s="182"/>
      <c r="J1381" s="182"/>
      <c r="K1381" s="182"/>
      <c r="L1381" s="182"/>
      <c r="M1381" s="182"/>
      <c r="N1381" s="182"/>
      <c r="O1381" s="182"/>
      <c r="P1381" s="182"/>
      <c r="Q1381" s="182"/>
      <c r="R1381" s="182"/>
      <c r="S1381" s="182"/>
      <c r="T1381" s="182"/>
      <c r="U1381" s="183"/>
      <c r="V1381" s="168">
        <f>SUM(V1370:V1380)</f>
        <v>2600015000</v>
      </c>
      <c r="W1381" s="334">
        <f t="shared" ref="W1381:Y1381" si="141">SUM(W1370:W1380)</f>
        <v>1789781578</v>
      </c>
      <c r="X1381" s="168">
        <f t="shared" si="141"/>
        <v>351100000</v>
      </c>
      <c r="Y1381" s="168">
        <f t="shared" si="141"/>
        <v>0</v>
      </c>
    </row>
    <row r="1386" spans="1:25" s="148" customFormat="1" ht="26.25">
      <c r="A1386" s="175" t="s">
        <v>113</v>
      </c>
      <c r="B1386" s="176"/>
      <c r="C1386" s="176"/>
      <c r="D1386" s="176"/>
      <c r="E1386" s="176"/>
      <c r="F1386" s="176"/>
      <c r="G1386" s="176"/>
      <c r="H1386" s="176"/>
      <c r="I1386" s="176"/>
      <c r="J1386" s="176"/>
      <c r="K1386" s="176"/>
      <c r="L1386" s="176"/>
      <c r="M1386" s="176"/>
      <c r="N1386" s="176"/>
      <c r="O1386" s="176"/>
      <c r="P1386" s="176"/>
      <c r="Q1386" s="176"/>
      <c r="R1386" s="176"/>
      <c r="S1386" s="176"/>
      <c r="T1386" s="176"/>
      <c r="U1386" s="176"/>
      <c r="V1386" s="176"/>
      <c r="W1386" s="345"/>
      <c r="X1386" s="176"/>
      <c r="Y1386" s="176"/>
    </row>
    <row r="1387" spans="1:25" s="148" customFormat="1" ht="15">
      <c r="A1387" s="196"/>
      <c r="B1387" s="197"/>
      <c r="C1387" s="197"/>
      <c r="D1387" s="197"/>
      <c r="E1387" s="197"/>
      <c r="F1387" s="197"/>
      <c r="G1387" s="197"/>
      <c r="H1387" s="197"/>
      <c r="I1387" s="197"/>
      <c r="J1387" s="197"/>
      <c r="K1387" s="197"/>
      <c r="L1387" s="197"/>
      <c r="M1387" s="197"/>
      <c r="N1387" s="197"/>
      <c r="O1387" s="197"/>
      <c r="P1387" s="197"/>
      <c r="Q1387" s="197"/>
      <c r="R1387" s="197"/>
      <c r="S1387" s="197"/>
      <c r="T1387" s="197"/>
      <c r="U1387" s="209" t="s">
        <v>2538</v>
      </c>
      <c r="V1387" s="152">
        <v>160000</v>
      </c>
      <c r="W1387" s="451">
        <v>0</v>
      </c>
      <c r="X1387" s="200"/>
      <c r="Y1387" s="200"/>
    </row>
    <row r="1388" spans="1:25" s="148" customFormat="1" ht="15">
      <c r="A1388" s="196"/>
      <c r="B1388" s="197"/>
      <c r="C1388" s="197"/>
      <c r="D1388" s="197"/>
      <c r="E1388" s="197"/>
      <c r="F1388" s="197"/>
      <c r="G1388" s="197"/>
      <c r="H1388" s="197"/>
      <c r="I1388" s="197"/>
      <c r="J1388" s="197"/>
      <c r="K1388" s="197"/>
      <c r="L1388" s="197"/>
      <c r="M1388" s="197"/>
      <c r="N1388" s="197"/>
      <c r="O1388" s="197"/>
      <c r="P1388" s="197"/>
      <c r="Q1388" s="197"/>
      <c r="R1388" s="197"/>
      <c r="S1388" s="197"/>
      <c r="T1388" s="197"/>
      <c r="U1388" s="209" t="s">
        <v>2539</v>
      </c>
      <c r="V1388" s="152">
        <v>190000</v>
      </c>
      <c r="W1388" s="451">
        <v>0</v>
      </c>
      <c r="X1388" s="200"/>
      <c r="Y1388" s="200"/>
    </row>
    <row r="1389" spans="1:25" s="148" customFormat="1" ht="15">
      <c r="A1389" s="196"/>
      <c r="B1389" s="197"/>
      <c r="C1389" s="197"/>
      <c r="D1389" s="197"/>
      <c r="E1389" s="197"/>
      <c r="F1389" s="197"/>
      <c r="G1389" s="197"/>
      <c r="H1389" s="197"/>
      <c r="I1389" s="197"/>
      <c r="J1389" s="197"/>
      <c r="K1389" s="197"/>
      <c r="L1389" s="197"/>
      <c r="M1389" s="197"/>
      <c r="N1389" s="197"/>
      <c r="O1389" s="197"/>
      <c r="P1389" s="197"/>
      <c r="Q1389" s="197"/>
      <c r="R1389" s="197"/>
      <c r="S1389" s="197"/>
      <c r="T1389" s="197"/>
      <c r="U1389" s="209" t="s">
        <v>2540</v>
      </c>
      <c r="V1389" s="152">
        <v>206000000</v>
      </c>
      <c r="W1389" s="451">
        <v>0</v>
      </c>
      <c r="X1389" s="200"/>
      <c r="Y1389" s="200"/>
    </row>
    <row r="1390" spans="1:25" s="148" customFormat="1" ht="15">
      <c r="A1390" s="196"/>
      <c r="B1390" s="197"/>
      <c r="C1390" s="197"/>
      <c r="D1390" s="197"/>
      <c r="E1390" s="197"/>
      <c r="F1390" s="197"/>
      <c r="G1390" s="197"/>
      <c r="H1390" s="197"/>
      <c r="I1390" s="197"/>
      <c r="J1390" s="197"/>
      <c r="K1390" s="197"/>
      <c r="L1390" s="197"/>
      <c r="M1390" s="197"/>
      <c r="N1390" s="197"/>
      <c r="O1390" s="197"/>
      <c r="P1390" s="197"/>
      <c r="Q1390" s="197"/>
      <c r="R1390" s="197"/>
      <c r="S1390" s="197"/>
      <c r="T1390" s="197"/>
      <c r="U1390" s="209" t="s">
        <v>2541</v>
      </c>
      <c r="V1390" s="152">
        <v>1980000</v>
      </c>
      <c r="W1390" s="451">
        <v>0</v>
      </c>
      <c r="X1390" s="200"/>
      <c r="Y1390" s="200"/>
    </row>
    <row r="1391" spans="1:25" s="148" customFormat="1" ht="15">
      <c r="A1391" s="196"/>
      <c r="B1391" s="197"/>
      <c r="C1391" s="197"/>
      <c r="D1391" s="197"/>
      <c r="E1391" s="197"/>
      <c r="F1391" s="197"/>
      <c r="G1391" s="197"/>
      <c r="H1391" s="197"/>
      <c r="I1391" s="197"/>
      <c r="J1391" s="197"/>
      <c r="K1391" s="197"/>
      <c r="L1391" s="197"/>
      <c r="M1391" s="197"/>
      <c r="N1391" s="197"/>
      <c r="O1391" s="197"/>
      <c r="P1391" s="197"/>
      <c r="Q1391" s="197"/>
      <c r="R1391" s="197"/>
      <c r="S1391" s="197"/>
      <c r="T1391" s="197"/>
      <c r="U1391" s="209" t="s">
        <v>2542</v>
      </c>
      <c r="V1391" s="152">
        <v>300000</v>
      </c>
      <c r="W1391" s="451">
        <v>0</v>
      </c>
      <c r="X1391" s="200"/>
      <c r="Y1391" s="200"/>
    </row>
    <row r="1392" spans="1:25" s="148" customFormat="1" ht="15">
      <c r="A1392" s="196"/>
      <c r="B1392" s="197"/>
      <c r="C1392" s="197"/>
      <c r="D1392" s="197"/>
      <c r="E1392" s="197"/>
      <c r="F1392" s="197"/>
      <c r="G1392" s="197"/>
      <c r="H1392" s="197"/>
      <c r="I1392" s="197"/>
      <c r="J1392" s="197"/>
      <c r="K1392" s="197"/>
      <c r="L1392" s="197"/>
      <c r="M1392" s="197"/>
      <c r="N1392" s="197"/>
      <c r="O1392" s="197"/>
      <c r="P1392" s="197"/>
      <c r="Q1392" s="197"/>
      <c r="R1392" s="197"/>
      <c r="S1392" s="197"/>
      <c r="T1392" s="197"/>
      <c r="U1392" s="209" t="s">
        <v>2543</v>
      </c>
      <c r="V1392" s="152">
        <v>1000000</v>
      </c>
      <c r="W1392" s="451">
        <v>0</v>
      </c>
      <c r="X1392" s="200"/>
      <c r="Y1392" s="200"/>
    </row>
    <row r="1393" spans="1:25" s="148" customFormat="1" ht="15">
      <c r="A1393" s="196"/>
      <c r="B1393" s="197"/>
      <c r="C1393" s="197"/>
      <c r="D1393" s="197"/>
      <c r="E1393" s="197"/>
      <c r="F1393" s="197"/>
      <c r="G1393" s="197"/>
      <c r="H1393" s="197"/>
      <c r="I1393" s="197"/>
      <c r="J1393" s="197"/>
      <c r="K1393" s="197"/>
      <c r="L1393" s="197"/>
      <c r="M1393" s="197"/>
      <c r="N1393" s="197"/>
      <c r="O1393" s="197"/>
      <c r="P1393" s="197"/>
      <c r="Q1393" s="197"/>
      <c r="R1393" s="197"/>
      <c r="S1393" s="197"/>
      <c r="T1393" s="197"/>
      <c r="U1393" s="209" t="s">
        <v>2544</v>
      </c>
      <c r="V1393" s="152">
        <v>770000</v>
      </c>
      <c r="W1393" s="451">
        <v>0</v>
      </c>
      <c r="X1393" s="200"/>
      <c r="Y1393" s="200"/>
    </row>
    <row r="1394" spans="1:25" s="148" customFormat="1" ht="30">
      <c r="A1394" s="196"/>
      <c r="B1394" s="197"/>
      <c r="C1394" s="197"/>
      <c r="D1394" s="197"/>
      <c r="E1394" s="197"/>
      <c r="F1394" s="197"/>
      <c r="G1394" s="197"/>
      <c r="H1394" s="197"/>
      <c r="I1394" s="197"/>
      <c r="J1394" s="197"/>
      <c r="K1394" s="197"/>
      <c r="L1394" s="197"/>
      <c r="M1394" s="197"/>
      <c r="N1394" s="197"/>
      <c r="O1394" s="197"/>
      <c r="P1394" s="197"/>
      <c r="Q1394" s="197"/>
      <c r="R1394" s="197"/>
      <c r="S1394" s="197"/>
      <c r="T1394" s="197"/>
      <c r="U1394" s="209" t="s">
        <v>1612</v>
      </c>
      <c r="V1394" s="152">
        <v>5000000</v>
      </c>
      <c r="W1394" s="451">
        <v>0</v>
      </c>
      <c r="X1394" s="200"/>
      <c r="Y1394" s="200"/>
    </row>
    <row r="1395" spans="1:25" s="202" customFormat="1" ht="15">
      <c r="A1395" s="193" t="s">
        <v>1613</v>
      </c>
      <c r="B1395" s="201"/>
      <c r="C1395" s="201"/>
      <c r="D1395" s="201"/>
      <c r="E1395" s="201"/>
      <c r="F1395" s="201"/>
      <c r="G1395" s="201"/>
      <c r="H1395" s="201"/>
      <c r="I1395" s="201"/>
      <c r="J1395" s="201"/>
      <c r="K1395" s="201"/>
      <c r="L1395" s="201"/>
      <c r="M1395" s="201"/>
      <c r="N1395" s="201"/>
      <c r="O1395" s="201"/>
      <c r="P1395" s="201"/>
      <c r="Q1395" s="201"/>
      <c r="R1395" s="201"/>
      <c r="S1395" s="201"/>
      <c r="T1395" s="201"/>
      <c r="U1395" s="209"/>
      <c r="V1395" s="157">
        <f>SUM(V1387:V1394)</f>
        <v>215400000</v>
      </c>
      <c r="W1395" s="157">
        <f t="shared" ref="W1395" si="142">SUM(W1387:W1394)</f>
        <v>0</v>
      </c>
      <c r="X1395" s="157">
        <f>SUM(X1387:X1394)</f>
        <v>0</v>
      </c>
      <c r="Y1395" s="157">
        <f>SUM(Y1387:Y1394)</f>
        <v>0</v>
      </c>
    </row>
    <row r="1396" spans="1:25" s="148" customFormat="1" ht="15">
      <c r="A1396" s="195"/>
      <c r="T1396" s="210"/>
      <c r="U1396" s="211"/>
      <c r="V1396" s="362"/>
      <c r="W1396" s="353"/>
    </row>
    <row r="1397" spans="1:25" s="148" customFormat="1" ht="15">
      <c r="A1397" s="195"/>
      <c r="T1397" s="212"/>
      <c r="U1397" s="213"/>
      <c r="V1397" s="363"/>
      <c r="W1397" s="353"/>
    </row>
    <row r="1402" spans="1:25" ht="26.25">
      <c r="A1402" s="175" t="s">
        <v>1614</v>
      </c>
      <c r="B1402" s="176"/>
      <c r="C1402" s="176"/>
      <c r="D1402" s="176"/>
      <c r="E1402" s="176"/>
      <c r="F1402" s="176"/>
      <c r="G1402" s="176"/>
      <c r="H1402" s="176"/>
      <c r="I1402" s="176"/>
      <c r="J1402" s="176"/>
      <c r="K1402" s="176"/>
      <c r="L1402" s="176"/>
      <c r="M1402" s="176"/>
      <c r="N1402" s="176"/>
      <c r="O1402" s="176"/>
      <c r="P1402" s="176"/>
      <c r="Q1402" s="176"/>
      <c r="R1402" s="176"/>
      <c r="S1402" s="176"/>
      <c r="T1402" s="176"/>
      <c r="U1402" s="176"/>
      <c r="V1402" s="176"/>
      <c r="W1402" s="345"/>
      <c r="X1402" s="176"/>
      <c r="Y1402" s="176"/>
    </row>
    <row r="1403" spans="1:25">
      <c r="A1403" s="162"/>
      <c r="B1403" s="163"/>
      <c r="C1403" s="163"/>
      <c r="D1403" s="163"/>
      <c r="E1403" s="163"/>
      <c r="F1403" s="163"/>
      <c r="G1403" s="163"/>
      <c r="H1403" s="163"/>
      <c r="I1403" s="163"/>
      <c r="J1403" s="163"/>
      <c r="K1403" s="163"/>
      <c r="L1403" s="163"/>
      <c r="M1403" s="163"/>
      <c r="N1403" s="163"/>
      <c r="O1403" s="163"/>
      <c r="P1403" s="163"/>
      <c r="Q1403" s="163"/>
      <c r="R1403" s="163"/>
      <c r="S1403" s="163"/>
      <c r="T1403" s="163"/>
      <c r="U1403" s="178" t="s">
        <v>1615</v>
      </c>
      <c r="V1403" s="165"/>
      <c r="W1403" s="451">
        <v>25179500</v>
      </c>
      <c r="X1403" s="165"/>
      <c r="Y1403" s="165"/>
    </row>
    <row r="1404" spans="1:25">
      <c r="A1404" s="162"/>
      <c r="B1404" s="163"/>
      <c r="C1404" s="163"/>
      <c r="D1404" s="163"/>
      <c r="E1404" s="163"/>
      <c r="F1404" s="163"/>
      <c r="G1404" s="163"/>
      <c r="H1404" s="163"/>
      <c r="I1404" s="163"/>
      <c r="J1404" s="163"/>
      <c r="K1404" s="163"/>
      <c r="L1404" s="163"/>
      <c r="M1404" s="163"/>
      <c r="N1404" s="163"/>
      <c r="O1404" s="163"/>
      <c r="P1404" s="163"/>
      <c r="Q1404" s="163"/>
      <c r="R1404" s="163"/>
      <c r="S1404" s="163"/>
      <c r="T1404" s="163"/>
      <c r="U1404" s="178" t="s">
        <v>1616</v>
      </c>
      <c r="V1404" s="165"/>
      <c r="W1404" s="451">
        <v>59730000</v>
      </c>
      <c r="X1404" s="165"/>
      <c r="Y1404" s="165"/>
    </row>
    <row r="1405" spans="1:25" ht="25.5">
      <c r="A1405" s="162"/>
      <c r="B1405" s="163"/>
      <c r="C1405" s="163"/>
      <c r="D1405" s="163"/>
      <c r="E1405" s="163"/>
      <c r="F1405" s="163"/>
      <c r="G1405" s="163"/>
      <c r="H1405" s="163"/>
      <c r="I1405" s="163"/>
      <c r="J1405" s="163"/>
      <c r="K1405" s="163"/>
      <c r="L1405" s="163"/>
      <c r="M1405" s="163"/>
      <c r="N1405" s="163"/>
      <c r="O1405" s="163"/>
      <c r="P1405" s="163"/>
      <c r="Q1405" s="163"/>
      <c r="R1405" s="163"/>
      <c r="S1405" s="163"/>
      <c r="T1405" s="163"/>
      <c r="U1405" s="178" t="s">
        <v>1617</v>
      </c>
      <c r="V1405" s="165"/>
      <c r="W1405" s="451">
        <v>0</v>
      </c>
      <c r="X1405" s="165">
        <v>172939000</v>
      </c>
      <c r="Y1405" s="165">
        <v>200000000</v>
      </c>
    </row>
    <row r="1406" spans="1:25" ht="38.25">
      <c r="A1406" s="162"/>
      <c r="B1406" s="163"/>
      <c r="C1406" s="163"/>
      <c r="D1406" s="163"/>
      <c r="E1406" s="163"/>
      <c r="F1406" s="163"/>
      <c r="G1406" s="163"/>
      <c r="H1406" s="163"/>
      <c r="I1406" s="163"/>
      <c r="J1406" s="163"/>
      <c r="K1406" s="163"/>
      <c r="L1406" s="163"/>
      <c r="M1406" s="163"/>
      <c r="N1406" s="163"/>
      <c r="O1406" s="163"/>
      <c r="P1406" s="163"/>
      <c r="Q1406" s="163"/>
      <c r="R1406" s="163"/>
      <c r="S1406" s="163"/>
      <c r="T1406" s="163"/>
      <c r="U1406" s="178" t="s">
        <v>1993</v>
      </c>
      <c r="V1406" s="165"/>
      <c r="W1406" s="451">
        <v>322500000</v>
      </c>
      <c r="X1406" s="165">
        <v>322500000</v>
      </c>
      <c r="Y1406" s="165">
        <v>175000000</v>
      </c>
    </row>
    <row r="1407" spans="1:25" ht="25.5">
      <c r="A1407" s="162"/>
      <c r="B1407" s="179"/>
      <c r="C1407" s="179"/>
      <c r="D1407" s="179"/>
      <c r="E1407" s="179"/>
      <c r="F1407" s="179"/>
      <c r="G1407" s="179"/>
      <c r="H1407" s="179"/>
      <c r="I1407" s="179"/>
      <c r="J1407" s="179"/>
      <c r="K1407" s="179"/>
      <c r="L1407" s="179"/>
      <c r="M1407" s="179"/>
      <c r="N1407" s="179"/>
      <c r="O1407" s="179"/>
      <c r="P1407" s="179"/>
      <c r="Q1407" s="179"/>
      <c r="R1407" s="179"/>
      <c r="S1407" s="179"/>
      <c r="T1407" s="179"/>
      <c r="U1407" s="170" t="s">
        <v>1618</v>
      </c>
      <c r="V1407" s="165">
        <v>5000000</v>
      </c>
      <c r="W1407" s="451">
        <v>0</v>
      </c>
      <c r="X1407" s="165">
        <v>10000000</v>
      </c>
      <c r="Y1407" s="165">
        <v>5000000</v>
      </c>
    </row>
    <row r="1408" spans="1:25">
      <c r="A1408" s="162"/>
      <c r="B1408" s="179"/>
      <c r="C1408" s="179"/>
      <c r="D1408" s="179"/>
      <c r="E1408" s="179"/>
      <c r="F1408" s="179"/>
      <c r="G1408" s="179"/>
      <c r="H1408" s="179"/>
      <c r="I1408" s="179"/>
      <c r="J1408" s="179"/>
      <c r="K1408" s="179"/>
      <c r="L1408" s="179"/>
      <c r="M1408" s="179"/>
      <c r="N1408" s="179"/>
      <c r="O1408" s="179"/>
      <c r="P1408" s="179"/>
      <c r="Q1408" s="179"/>
      <c r="R1408" s="179"/>
      <c r="S1408" s="179"/>
      <c r="T1408" s="179"/>
      <c r="U1408" s="170" t="s">
        <v>1994</v>
      </c>
      <c r="V1408" s="165">
        <v>300000000</v>
      </c>
      <c r="W1408" s="451">
        <v>0</v>
      </c>
      <c r="X1408" s="163"/>
      <c r="Y1408" s="163"/>
    </row>
    <row r="1409" spans="1:25">
      <c r="A1409" s="162"/>
      <c r="B1409" s="179"/>
      <c r="C1409" s="179"/>
      <c r="D1409" s="179"/>
      <c r="E1409" s="179"/>
      <c r="F1409" s="179"/>
      <c r="G1409" s="179"/>
      <c r="H1409" s="179"/>
      <c r="I1409" s="179"/>
      <c r="J1409" s="179"/>
      <c r="K1409" s="179"/>
      <c r="L1409" s="179"/>
      <c r="M1409" s="179"/>
      <c r="N1409" s="179"/>
      <c r="O1409" s="179"/>
      <c r="P1409" s="179"/>
      <c r="Q1409" s="179"/>
      <c r="R1409" s="179"/>
      <c r="S1409" s="179"/>
      <c r="T1409" s="179"/>
      <c r="U1409" s="170" t="s">
        <v>1995</v>
      </c>
      <c r="V1409" s="165">
        <v>20000000</v>
      </c>
      <c r="W1409" s="451">
        <v>0</v>
      </c>
      <c r="X1409" s="163"/>
      <c r="Y1409" s="163"/>
    </row>
    <row r="1410" spans="1:25">
      <c r="A1410" s="162"/>
      <c r="B1410" s="179"/>
      <c r="C1410" s="179"/>
      <c r="D1410" s="179"/>
      <c r="E1410" s="179"/>
      <c r="F1410" s="179"/>
      <c r="G1410" s="179"/>
      <c r="H1410" s="179"/>
      <c r="I1410" s="179"/>
      <c r="J1410" s="179"/>
      <c r="K1410" s="179"/>
      <c r="L1410" s="179"/>
      <c r="M1410" s="179"/>
      <c r="N1410" s="179"/>
      <c r="O1410" s="179"/>
      <c r="P1410" s="179"/>
      <c r="Q1410" s="179"/>
      <c r="R1410" s="179"/>
      <c r="S1410" s="179"/>
      <c r="T1410" s="179"/>
      <c r="U1410" s="170" t="s">
        <v>1619</v>
      </c>
      <c r="V1410" s="165">
        <v>30000000</v>
      </c>
      <c r="W1410" s="451">
        <v>0</v>
      </c>
      <c r="X1410" s="163"/>
      <c r="Y1410" s="163"/>
    </row>
    <row r="1411" spans="1:25">
      <c r="A1411" s="162"/>
      <c r="B1411" s="179"/>
      <c r="C1411" s="179"/>
      <c r="D1411" s="179"/>
      <c r="E1411" s="179"/>
      <c r="F1411" s="179"/>
      <c r="G1411" s="179"/>
      <c r="H1411" s="179"/>
      <c r="I1411" s="179"/>
      <c r="J1411" s="179"/>
      <c r="K1411" s="179"/>
      <c r="L1411" s="179"/>
      <c r="M1411" s="179"/>
      <c r="N1411" s="179"/>
      <c r="O1411" s="179"/>
      <c r="P1411" s="179"/>
      <c r="Q1411" s="179"/>
      <c r="R1411" s="179"/>
      <c r="S1411" s="179"/>
      <c r="T1411" s="179"/>
      <c r="U1411" s="170" t="s">
        <v>1996</v>
      </c>
      <c r="V1411" s="165">
        <v>10000000</v>
      </c>
      <c r="W1411" s="451">
        <v>0</v>
      </c>
      <c r="X1411" s="163"/>
      <c r="Y1411" s="163"/>
    </row>
    <row r="1412" spans="1:25" s="184" customFormat="1">
      <c r="A1412" s="181"/>
      <c r="B1412" s="182"/>
      <c r="C1412" s="182"/>
      <c r="D1412" s="182"/>
      <c r="E1412" s="182"/>
      <c r="F1412" s="182"/>
      <c r="G1412" s="182"/>
      <c r="H1412" s="182"/>
      <c r="I1412" s="182"/>
      <c r="J1412" s="182"/>
      <c r="K1412" s="182"/>
      <c r="L1412" s="182"/>
      <c r="M1412" s="182"/>
      <c r="N1412" s="182"/>
      <c r="O1412" s="182"/>
      <c r="P1412" s="182"/>
      <c r="Q1412" s="182"/>
      <c r="R1412" s="182"/>
      <c r="S1412" s="182"/>
      <c r="T1412" s="182"/>
      <c r="U1412" s="183"/>
      <c r="V1412" s="168">
        <f t="shared" ref="V1412:Y1412" si="143">SUM(V1403:V1411)</f>
        <v>365000000</v>
      </c>
      <c r="W1412" s="334">
        <f t="shared" si="143"/>
        <v>407409500</v>
      </c>
      <c r="X1412" s="168">
        <f t="shared" si="143"/>
        <v>505439000</v>
      </c>
      <c r="Y1412" s="168">
        <f t="shared" si="143"/>
        <v>380000000</v>
      </c>
    </row>
    <row r="1414" spans="1:25">
      <c r="U1414" s="185" t="s">
        <v>1218</v>
      </c>
    </row>
    <row r="1415" spans="1:25">
      <c r="U1415" s="144" t="s">
        <v>2181</v>
      </c>
      <c r="V1415" s="262">
        <v>407409500</v>
      </c>
    </row>
    <row r="1422" spans="1:25" ht="26.25">
      <c r="A1422" s="175" t="s">
        <v>1620</v>
      </c>
      <c r="B1422" s="176"/>
      <c r="C1422" s="176"/>
      <c r="D1422" s="176"/>
      <c r="E1422" s="176"/>
      <c r="F1422" s="176"/>
      <c r="G1422" s="176"/>
      <c r="H1422" s="176"/>
      <c r="I1422" s="176"/>
      <c r="J1422" s="176"/>
      <c r="K1422" s="176"/>
      <c r="L1422" s="176"/>
      <c r="M1422" s="176"/>
      <c r="N1422" s="176"/>
      <c r="O1422" s="176"/>
      <c r="P1422" s="176"/>
      <c r="Q1422" s="176"/>
      <c r="R1422" s="176"/>
      <c r="S1422" s="176"/>
      <c r="T1422" s="176"/>
      <c r="U1422" s="176"/>
      <c r="V1422" s="176"/>
      <c r="W1422" s="345"/>
      <c r="X1422" s="176"/>
      <c r="Y1422" s="176"/>
    </row>
    <row r="1423" spans="1:25" ht="38.25">
      <c r="A1423" s="162"/>
      <c r="B1423" s="163"/>
      <c r="C1423" s="163"/>
      <c r="D1423" s="163"/>
      <c r="E1423" s="163"/>
      <c r="F1423" s="163"/>
      <c r="G1423" s="163"/>
      <c r="H1423" s="163"/>
      <c r="I1423" s="163"/>
      <c r="J1423" s="163"/>
      <c r="K1423" s="163"/>
      <c r="L1423" s="163"/>
      <c r="M1423" s="163"/>
      <c r="N1423" s="163"/>
      <c r="O1423" s="163"/>
      <c r="P1423" s="163"/>
      <c r="Q1423" s="163"/>
      <c r="R1423" s="163"/>
      <c r="S1423" s="163"/>
      <c r="T1423" s="163"/>
      <c r="U1423" s="178" t="s">
        <v>2545</v>
      </c>
      <c r="V1423" s="165"/>
      <c r="W1423" s="451">
        <v>1568600000</v>
      </c>
      <c r="X1423" s="165"/>
      <c r="Y1423" s="165">
        <v>850000000</v>
      </c>
    </row>
    <row r="1424" spans="1:25" ht="38.25">
      <c r="A1424" s="162"/>
      <c r="B1424" s="163"/>
      <c r="C1424" s="163"/>
      <c r="D1424" s="163"/>
      <c r="E1424" s="163"/>
      <c r="F1424" s="163"/>
      <c r="G1424" s="163"/>
      <c r="H1424" s="163"/>
      <c r="I1424" s="163"/>
      <c r="J1424" s="163"/>
      <c r="K1424" s="163"/>
      <c r="L1424" s="163"/>
      <c r="M1424" s="163"/>
      <c r="N1424" s="163"/>
      <c r="O1424" s="163"/>
      <c r="P1424" s="163"/>
      <c r="Q1424" s="163"/>
      <c r="R1424" s="163"/>
      <c r="S1424" s="163"/>
      <c r="T1424" s="163"/>
      <c r="U1424" s="178" t="s">
        <v>2546</v>
      </c>
      <c r="V1424" s="165"/>
      <c r="W1424" s="451">
        <v>193608945.38999999</v>
      </c>
      <c r="X1424" s="165">
        <v>193608945.38999999</v>
      </c>
      <c r="Y1424" s="165">
        <v>173608945.38999999</v>
      </c>
    </row>
    <row r="1425" spans="1:25" ht="38.25">
      <c r="A1425" s="162"/>
      <c r="B1425" s="163"/>
      <c r="C1425" s="163"/>
      <c r="D1425" s="163"/>
      <c r="E1425" s="163"/>
      <c r="F1425" s="163"/>
      <c r="G1425" s="163"/>
      <c r="H1425" s="163"/>
      <c r="I1425" s="163"/>
      <c r="J1425" s="163"/>
      <c r="K1425" s="163"/>
      <c r="L1425" s="163"/>
      <c r="M1425" s="163"/>
      <c r="N1425" s="163"/>
      <c r="O1425" s="163"/>
      <c r="P1425" s="163"/>
      <c r="Q1425" s="163"/>
      <c r="R1425" s="163"/>
      <c r="S1425" s="163"/>
      <c r="T1425" s="163"/>
      <c r="U1425" s="178" t="s">
        <v>2547</v>
      </c>
      <c r="V1425" s="165"/>
      <c r="W1425" s="451">
        <v>265432060.68000001</v>
      </c>
      <c r="X1425" s="165">
        <v>365432060.68000001</v>
      </c>
      <c r="Y1425" s="165">
        <v>200432060.68000001</v>
      </c>
    </row>
    <row r="1426" spans="1:25" ht="38.25">
      <c r="A1426" s="162"/>
      <c r="B1426" s="163"/>
      <c r="C1426" s="163"/>
      <c r="D1426" s="163"/>
      <c r="E1426" s="163"/>
      <c r="F1426" s="163"/>
      <c r="G1426" s="163"/>
      <c r="H1426" s="163"/>
      <c r="I1426" s="163"/>
      <c r="J1426" s="163"/>
      <c r="K1426" s="163"/>
      <c r="L1426" s="163"/>
      <c r="M1426" s="163"/>
      <c r="N1426" s="163"/>
      <c r="O1426" s="163"/>
      <c r="P1426" s="163"/>
      <c r="Q1426" s="163"/>
      <c r="R1426" s="163"/>
      <c r="S1426" s="163"/>
      <c r="T1426" s="163"/>
      <c r="U1426" s="178" t="s">
        <v>1621</v>
      </c>
      <c r="V1426" s="165"/>
      <c r="W1426" s="451">
        <v>600000000</v>
      </c>
      <c r="X1426" s="165">
        <v>600000000</v>
      </c>
      <c r="Y1426" s="165">
        <v>400000000</v>
      </c>
    </row>
    <row r="1427" spans="1:25">
      <c r="A1427" s="162"/>
      <c r="B1427" s="179"/>
      <c r="C1427" s="179"/>
      <c r="D1427" s="179"/>
      <c r="E1427" s="179"/>
      <c r="F1427" s="179"/>
      <c r="G1427" s="179"/>
      <c r="H1427" s="179"/>
      <c r="I1427" s="179"/>
      <c r="J1427" s="179"/>
      <c r="K1427" s="179"/>
      <c r="L1427" s="179"/>
      <c r="M1427" s="179"/>
      <c r="N1427" s="179"/>
      <c r="O1427" s="179"/>
      <c r="P1427" s="179"/>
      <c r="Q1427" s="179"/>
      <c r="R1427" s="179"/>
      <c r="S1427" s="179"/>
      <c r="T1427" s="179"/>
      <c r="U1427" s="170" t="s">
        <v>2548</v>
      </c>
      <c r="V1427" s="165">
        <v>2100000000</v>
      </c>
      <c r="W1427" s="451">
        <v>0</v>
      </c>
      <c r="X1427" s="163"/>
      <c r="Y1427" s="163"/>
    </row>
    <row r="1428" spans="1:25" s="184" customFormat="1">
      <c r="A1428" s="181"/>
      <c r="B1428" s="182"/>
      <c r="C1428" s="182"/>
      <c r="D1428" s="182"/>
      <c r="E1428" s="182"/>
      <c r="F1428" s="182"/>
      <c r="G1428" s="182"/>
      <c r="H1428" s="182"/>
      <c r="I1428" s="182"/>
      <c r="J1428" s="182"/>
      <c r="K1428" s="182"/>
      <c r="L1428" s="182"/>
      <c r="M1428" s="182"/>
      <c r="N1428" s="182"/>
      <c r="O1428" s="182"/>
      <c r="P1428" s="182"/>
      <c r="Q1428" s="182"/>
      <c r="R1428" s="182"/>
      <c r="S1428" s="182"/>
      <c r="T1428" s="182"/>
      <c r="U1428" s="183"/>
      <c r="V1428" s="168">
        <f t="shared" ref="V1428:Y1428" si="144">SUM(V1423:V1427)</f>
        <v>2100000000</v>
      </c>
      <c r="W1428" s="334">
        <f t="shared" si="144"/>
        <v>2627641006.0699997</v>
      </c>
      <c r="X1428" s="168">
        <f t="shared" si="144"/>
        <v>1159041006.0699999</v>
      </c>
      <c r="Y1428" s="168">
        <f t="shared" si="144"/>
        <v>1624041006.0699999</v>
      </c>
    </row>
    <row r="1430" spans="1:25">
      <c r="U1430" s="185" t="s">
        <v>1218</v>
      </c>
    </row>
    <row r="1431" spans="1:25">
      <c r="U1431" s="144" t="s">
        <v>2181</v>
      </c>
      <c r="V1431" s="262">
        <v>2627641006.0700002</v>
      </c>
    </row>
    <row r="1432" spans="1:25">
      <c r="U1432" s="190"/>
      <c r="V1432" s="262"/>
    </row>
    <row r="1433" spans="1:25">
      <c r="U1433" s="190"/>
      <c r="V1433" s="262"/>
    </row>
    <row r="1434" spans="1:25" s="184" customFormat="1" ht="26.25">
      <c r="A1434" s="175" t="s">
        <v>2164</v>
      </c>
      <c r="B1434" s="176"/>
      <c r="C1434" s="176"/>
      <c r="D1434" s="176"/>
      <c r="E1434" s="176"/>
      <c r="F1434" s="176"/>
      <c r="G1434" s="176"/>
      <c r="H1434" s="176"/>
      <c r="I1434" s="176"/>
      <c r="J1434" s="176"/>
      <c r="K1434" s="176"/>
      <c r="L1434" s="176"/>
      <c r="M1434" s="176"/>
      <c r="N1434" s="176"/>
      <c r="O1434" s="176"/>
      <c r="P1434" s="176"/>
      <c r="Q1434" s="176"/>
      <c r="R1434" s="176"/>
      <c r="S1434" s="176"/>
      <c r="T1434" s="176"/>
      <c r="U1434" s="176"/>
      <c r="V1434" s="176"/>
      <c r="W1434" s="345"/>
      <c r="X1434" s="176"/>
      <c r="Y1434" s="176"/>
    </row>
    <row r="1435" spans="1:25" ht="15">
      <c r="A1435" s="196"/>
      <c r="B1435" s="197"/>
      <c r="C1435" s="197"/>
      <c r="D1435" s="197"/>
      <c r="E1435" s="197"/>
      <c r="F1435" s="197"/>
      <c r="G1435" s="197"/>
      <c r="H1435" s="197"/>
      <c r="I1435" s="197"/>
      <c r="J1435" s="197"/>
      <c r="K1435" s="197"/>
      <c r="L1435" s="197"/>
      <c r="M1435" s="197"/>
      <c r="N1435" s="197"/>
      <c r="O1435" s="197"/>
      <c r="P1435" s="197"/>
      <c r="Q1435" s="197"/>
      <c r="R1435" s="197"/>
      <c r="S1435" s="197"/>
      <c r="T1435" s="197"/>
      <c r="U1435" s="170" t="s">
        <v>2158</v>
      </c>
      <c r="V1435" s="165"/>
      <c r="W1435" s="451">
        <v>291062923</v>
      </c>
      <c r="X1435" s="152"/>
      <c r="Y1435" s="152">
        <v>0</v>
      </c>
    </row>
    <row r="1436" spans="1:25" ht="15">
      <c r="A1436" s="196"/>
      <c r="B1436" s="197"/>
      <c r="C1436" s="197"/>
      <c r="D1436" s="197"/>
      <c r="E1436" s="197"/>
      <c r="F1436" s="197"/>
      <c r="G1436" s="197"/>
      <c r="H1436" s="197"/>
      <c r="I1436" s="197"/>
      <c r="J1436" s="197"/>
      <c r="K1436" s="197"/>
      <c r="L1436" s="197"/>
      <c r="M1436" s="197"/>
      <c r="N1436" s="197"/>
      <c r="O1436" s="197"/>
      <c r="P1436" s="197"/>
      <c r="Q1436" s="197"/>
      <c r="R1436" s="197"/>
      <c r="S1436" s="197"/>
      <c r="T1436" s="197"/>
      <c r="U1436" s="170" t="s">
        <v>2159</v>
      </c>
      <c r="V1436" s="165"/>
      <c r="W1436" s="451">
        <v>200000000</v>
      </c>
      <c r="X1436" s="200"/>
      <c r="Y1436" s="200"/>
    </row>
    <row r="1437" spans="1:25" ht="15">
      <c r="A1437" s="193" t="s">
        <v>2165</v>
      </c>
      <c r="B1437" s="201"/>
      <c r="C1437" s="201"/>
      <c r="D1437" s="201"/>
      <c r="E1437" s="201"/>
      <c r="F1437" s="201"/>
      <c r="G1437" s="201"/>
      <c r="H1437" s="201"/>
      <c r="I1437" s="201"/>
      <c r="J1437" s="201"/>
      <c r="K1437" s="201"/>
      <c r="L1437" s="201"/>
      <c r="M1437" s="201"/>
      <c r="N1437" s="201"/>
      <c r="O1437" s="201"/>
      <c r="P1437" s="201"/>
      <c r="Q1437" s="201"/>
      <c r="R1437" s="201"/>
      <c r="S1437" s="201"/>
      <c r="T1437" s="201"/>
      <c r="U1437" s="326"/>
      <c r="V1437" s="157">
        <f>SUM(V1435:V1436)</f>
        <v>0</v>
      </c>
      <c r="W1437" s="334">
        <f t="shared" ref="W1437" si="145">SUM(W1435:W1436)</f>
        <v>491062923</v>
      </c>
      <c r="X1437" s="157">
        <f>SUM(X1435:X1436)</f>
        <v>0</v>
      </c>
      <c r="Y1437" s="157">
        <f>SUM(Y1435:Y1436)</f>
        <v>0</v>
      </c>
    </row>
    <row r="1438" spans="1:25">
      <c r="U1438" s="190"/>
      <c r="V1438" s="262"/>
    </row>
    <row r="1439" spans="1:25">
      <c r="U1439" s="185" t="s">
        <v>1218</v>
      </c>
      <c r="V1439" s="262"/>
    </row>
    <row r="1440" spans="1:25">
      <c r="U1440" s="144" t="s">
        <v>2181</v>
      </c>
      <c r="V1440" s="262">
        <v>491062923</v>
      </c>
    </row>
    <row r="1441" spans="1:25">
      <c r="U1441" s="190"/>
      <c r="V1441" s="262"/>
    </row>
    <row r="1442" spans="1:25">
      <c r="U1442" s="190"/>
    </row>
    <row r="1444" spans="1:25" s="148" customFormat="1" ht="26.25">
      <c r="A1444" s="175" t="s">
        <v>111</v>
      </c>
      <c r="B1444" s="176"/>
      <c r="C1444" s="176"/>
      <c r="D1444" s="176"/>
      <c r="E1444" s="176"/>
      <c r="F1444" s="176"/>
      <c r="G1444" s="176"/>
      <c r="H1444" s="176"/>
      <c r="I1444" s="176"/>
      <c r="J1444" s="176"/>
      <c r="K1444" s="176"/>
      <c r="L1444" s="176"/>
      <c r="M1444" s="176"/>
      <c r="N1444" s="176"/>
      <c r="O1444" s="176"/>
      <c r="P1444" s="176"/>
      <c r="Q1444" s="176"/>
      <c r="R1444" s="176"/>
      <c r="S1444" s="176"/>
      <c r="T1444" s="176"/>
      <c r="U1444" s="176"/>
      <c r="V1444" s="176"/>
      <c r="W1444" s="345"/>
      <c r="X1444" s="176"/>
      <c r="Y1444" s="176"/>
    </row>
    <row r="1445" spans="1:25" s="148" customFormat="1" ht="15">
      <c r="A1445" s="196"/>
      <c r="B1445" s="197"/>
      <c r="C1445" s="197"/>
      <c r="D1445" s="197"/>
      <c r="E1445" s="197"/>
      <c r="F1445" s="197"/>
      <c r="G1445" s="197"/>
      <c r="H1445" s="197"/>
      <c r="I1445" s="197"/>
      <c r="J1445" s="197"/>
      <c r="K1445" s="197"/>
      <c r="L1445" s="197"/>
      <c r="M1445" s="197"/>
      <c r="N1445" s="197"/>
      <c r="O1445" s="197"/>
      <c r="P1445" s="197"/>
      <c r="Q1445" s="197"/>
      <c r="R1445" s="197"/>
      <c r="S1445" s="197"/>
      <c r="T1445" s="197"/>
      <c r="U1445" s="209" t="s">
        <v>1997</v>
      </c>
      <c r="V1445" s="152">
        <v>870000</v>
      </c>
      <c r="W1445" s="451">
        <v>0</v>
      </c>
      <c r="X1445" s="152">
        <v>5000000</v>
      </c>
      <c r="Y1445" s="152">
        <v>6000000</v>
      </c>
    </row>
    <row r="1446" spans="1:25" s="148" customFormat="1" ht="15">
      <c r="A1446" s="196"/>
      <c r="B1446" s="197"/>
      <c r="C1446" s="197"/>
      <c r="D1446" s="197"/>
      <c r="E1446" s="197"/>
      <c r="F1446" s="197"/>
      <c r="G1446" s="197"/>
      <c r="H1446" s="197"/>
      <c r="I1446" s="197"/>
      <c r="J1446" s="197"/>
      <c r="K1446" s="197"/>
      <c r="L1446" s="197"/>
      <c r="M1446" s="197"/>
      <c r="N1446" s="197"/>
      <c r="O1446" s="197"/>
      <c r="P1446" s="197"/>
      <c r="Q1446" s="197"/>
      <c r="R1446" s="197"/>
      <c r="S1446" s="197"/>
      <c r="T1446" s="197"/>
      <c r="U1446" s="209" t="s">
        <v>1622</v>
      </c>
      <c r="V1446" s="152">
        <v>1000000</v>
      </c>
      <c r="W1446" s="451">
        <v>0</v>
      </c>
      <c r="X1446" s="200"/>
      <c r="Y1446" s="200"/>
    </row>
    <row r="1447" spans="1:25" s="202" customFormat="1" ht="15">
      <c r="A1447" s="193" t="s">
        <v>1623</v>
      </c>
      <c r="B1447" s="201"/>
      <c r="C1447" s="201"/>
      <c r="D1447" s="201"/>
      <c r="E1447" s="201"/>
      <c r="F1447" s="201"/>
      <c r="G1447" s="201"/>
      <c r="H1447" s="201"/>
      <c r="I1447" s="201"/>
      <c r="J1447" s="201"/>
      <c r="K1447" s="201"/>
      <c r="L1447" s="201"/>
      <c r="M1447" s="201"/>
      <c r="N1447" s="201"/>
      <c r="O1447" s="201"/>
      <c r="P1447" s="201"/>
      <c r="Q1447" s="201"/>
      <c r="R1447" s="201"/>
      <c r="S1447" s="201"/>
      <c r="T1447" s="201"/>
      <c r="U1447" s="209"/>
      <c r="V1447" s="157">
        <f>SUM(V1445:V1446)</f>
        <v>1870000</v>
      </c>
      <c r="W1447" s="157">
        <f t="shared" ref="W1447" si="146">SUM(W1445:W1446)</f>
        <v>0</v>
      </c>
      <c r="X1447" s="157">
        <f>SUM(X1445:X1446)</f>
        <v>5000000</v>
      </c>
      <c r="Y1447" s="157">
        <f>SUM(Y1445:Y1446)</f>
        <v>6000000</v>
      </c>
    </row>
    <row r="1448" spans="1:25" s="148" customFormat="1" ht="15">
      <c r="A1448" s="195"/>
      <c r="T1448" s="210"/>
      <c r="U1448" s="211"/>
      <c r="V1448" s="362"/>
      <c r="W1448" s="353"/>
    </row>
    <row r="1451" spans="1:25" ht="26.25">
      <c r="A1451" s="175" t="s">
        <v>110</v>
      </c>
      <c r="B1451" s="176"/>
      <c r="C1451" s="176"/>
      <c r="D1451" s="176"/>
      <c r="E1451" s="176"/>
      <c r="F1451" s="176"/>
      <c r="G1451" s="176"/>
      <c r="H1451" s="176"/>
      <c r="I1451" s="176"/>
      <c r="J1451" s="176"/>
      <c r="K1451" s="176"/>
      <c r="L1451" s="176"/>
      <c r="M1451" s="176"/>
      <c r="N1451" s="176"/>
      <c r="O1451" s="176"/>
      <c r="P1451" s="176"/>
      <c r="Q1451" s="176"/>
      <c r="R1451" s="176"/>
      <c r="S1451" s="176"/>
      <c r="T1451" s="176"/>
      <c r="U1451" s="176"/>
      <c r="V1451" s="176"/>
      <c r="W1451" s="345"/>
      <c r="X1451" s="176"/>
      <c r="Y1451" s="176"/>
    </row>
    <row r="1452" spans="1:25">
      <c r="A1452" s="162"/>
      <c r="B1452" s="163"/>
      <c r="C1452" s="163"/>
      <c r="D1452" s="163"/>
      <c r="E1452" s="163"/>
      <c r="F1452" s="163"/>
      <c r="G1452" s="163"/>
      <c r="H1452" s="163"/>
      <c r="I1452" s="163"/>
      <c r="J1452" s="163"/>
      <c r="K1452" s="163"/>
      <c r="L1452" s="163"/>
      <c r="M1452" s="163"/>
      <c r="N1452" s="163"/>
      <c r="O1452" s="163"/>
      <c r="P1452" s="163"/>
      <c r="Q1452" s="163"/>
      <c r="R1452" s="163"/>
      <c r="S1452" s="163"/>
      <c r="T1452" s="163"/>
      <c r="U1452" s="178" t="s">
        <v>1624</v>
      </c>
      <c r="V1452" s="165"/>
      <c r="W1452" s="451">
        <v>18712500</v>
      </c>
      <c r="X1452" s="165"/>
      <c r="Y1452" s="165"/>
    </row>
    <row r="1453" spans="1:25">
      <c r="A1453" s="162"/>
      <c r="B1453" s="163"/>
      <c r="C1453" s="163"/>
      <c r="D1453" s="163"/>
      <c r="E1453" s="163"/>
      <c r="F1453" s="163"/>
      <c r="G1453" s="163"/>
      <c r="H1453" s="163"/>
      <c r="I1453" s="163"/>
      <c r="J1453" s="163"/>
      <c r="K1453" s="163"/>
      <c r="L1453" s="163"/>
      <c r="M1453" s="163"/>
      <c r="N1453" s="163"/>
      <c r="O1453" s="163"/>
      <c r="P1453" s="163"/>
      <c r="Q1453" s="163"/>
      <c r="R1453" s="163"/>
      <c r="S1453" s="163"/>
      <c r="T1453" s="163"/>
      <c r="U1453" s="178" t="s">
        <v>2549</v>
      </c>
      <c r="V1453" s="165"/>
      <c r="W1453" s="451">
        <v>7712500</v>
      </c>
      <c r="X1453" s="165"/>
      <c r="Y1453" s="165"/>
    </row>
    <row r="1454" spans="1:25">
      <c r="A1454" s="162"/>
      <c r="B1454" s="163"/>
      <c r="C1454" s="163"/>
      <c r="D1454" s="163"/>
      <c r="E1454" s="163"/>
      <c r="F1454" s="163"/>
      <c r="G1454" s="163"/>
      <c r="H1454" s="163"/>
      <c r="I1454" s="163"/>
      <c r="J1454" s="163"/>
      <c r="K1454" s="163"/>
      <c r="L1454" s="163"/>
      <c r="M1454" s="163"/>
      <c r="N1454" s="163"/>
      <c r="O1454" s="163"/>
      <c r="P1454" s="163"/>
      <c r="Q1454" s="163"/>
      <c r="R1454" s="163"/>
      <c r="S1454" s="163"/>
      <c r="T1454" s="163"/>
      <c r="U1454" s="178" t="s">
        <v>1998</v>
      </c>
      <c r="V1454" s="165"/>
      <c r="W1454" s="451">
        <v>11212500</v>
      </c>
      <c r="X1454" s="165"/>
      <c r="Y1454" s="165"/>
    </row>
    <row r="1455" spans="1:25">
      <c r="A1455" s="162"/>
      <c r="B1455" s="163"/>
      <c r="C1455" s="163"/>
      <c r="D1455" s="163"/>
      <c r="E1455" s="163"/>
      <c r="F1455" s="163"/>
      <c r="G1455" s="163"/>
      <c r="H1455" s="163"/>
      <c r="I1455" s="163"/>
      <c r="J1455" s="163"/>
      <c r="K1455" s="163"/>
      <c r="L1455" s="163"/>
      <c r="M1455" s="163"/>
      <c r="N1455" s="163"/>
      <c r="O1455" s="163"/>
      <c r="P1455" s="163"/>
      <c r="Q1455" s="163"/>
      <c r="R1455" s="163"/>
      <c r="S1455" s="163"/>
      <c r="T1455" s="163"/>
      <c r="U1455" s="178" t="s">
        <v>1625</v>
      </c>
      <c r="V1455" s="165"/>
      <c r="W1455" s="451">
        <v>18212500</v>
      </c>
      <c r="X1455" s="165"/>
      <c r="Y1455" s="165"/>
    </row>
    <row r="1456" spans="1:25" ht="25.5">
      <c r="A1456" s="162"/>
      <c r="B1456" s="163"/>
      <c r="C1456" s="163"/>
      <c r="D1456" s="163"/>
      <c r="E1456" s="163"/>
      <c r="F1456" s="163"/>
      <c r="G1456" s="163"/>
      <c r="H1456" s="163"/>
      <c r="I1456" s="163"/>
      <c r="J1456" s="163"/>
      <c r="K1456" s="163"/>
      <c r="L1456" s="163"/>
      <c r="M1456" s="163"/>
      <c r="N1456" s="163"/>
      <c r="O1456" s="163"/>
      <c r="P1456" s="163"/>
      <c r="Q1456" s="163"/>
      <c r="R1456" s="163"/>
      <c r="S1456" s="163"/>
      <c r="T1456" s="163"/>
      <c r="U1456" s="178" t="s">
        <v>1626</v>
      </c>
      <c r="V1456" s="165"/>
      <c r="W1456" s="451">
        <v>20212500</v>
      </c>
      <c r="X1456" s="165"/>
      <c r="Y1456" s="165"/>
    </row>
    <row r="1457" spans="1:25">
      <c r="A1457" s="162"/>
      <c r="B1457" s="163"/>
      <c r="C1457" s="163"/>
      <c r="D1457" s="163"/>
      <c r="E1457" s="163"/>
      <c r="F1457" s="163"/>
      <c r="G1457" s="163"/>
      <c r="H1457" s="163"/>
      <c r="I1457" s="163"/>
      <c r="J1457" s="163"/>
      <c r="K1457" s="163"/>
      <c r="L1457" s="163"/>
      <c r="M1457" s="163"/>
      <c r="N1457" s="163"/>
      <c r="O1457" s="163"/>
      <c r="P1457" s="163"/>
      <c r="Q1457" s="163"/>
      <c r="R1457" s="163"/>
      <c r="S1457" s="163"/>
      <c r="T1457" s="163"/>
      <c r="U1457" s="178" t="s">
        <v>2550</v>
      </c>
      <c r="V1457" s="165"/>
      <c r="W1457" s="451">
        <v>11712500</v>
      </c>
      <c r="X1457" s="165"/>
      <c r="Y1457" s="165"/>
    </row>
    <row r="1458" spans="1:25">
      <c r="A1458" s="162"/>
      <c r="B1458" s="163"/>
      <c r="C1458" s="163"/>
      <c r="D1458" s="163"/>
      <c r="E1458" s="163"/>
      <c r="F1458" s="163"/>
      <c r="G1458" s="163"/>
      <c r="H1458" s="163"/>
      <c r="I1458" s="163"/>
      <c r="J1458" s="163"/>
      <c r="K1458" s="163"/>
      <c r="L1458" s="163"/>
      <c r="M1458" s="163"/>
      <c r="N1458" s="163"/>
      <c r="O1458" s="163"/>
      <c r="P1458" s="163"/>
      <c r="Q1458" s="163"/>
      <c r="R1458" s="163"/>
      <c r="S1458" s="163"/>
      <c r="T1458" s="163"/>
      <c r="U1458" s="178" t="s">
        <v>1999</v>
      </c>
      <c r="V1458" s="165"/>
      <c r="W1458" s="451">
        <v>0</v>
      </c>
      <c r="X1458" s="165">
        <v>30212500</v>
      </c>
      <c r="Y1458" s="165"/>
    </row>
    <row r="1459" spans="1:25">
      <c r="A1459" s="162"/>
      <c r="B1459" s="163"/>
      <c r="C1459" s="163"/>
      <c r="D1459" s="163"/>
      <c r="E1459" s="163"/>
      <c r="F1459" s="163"/>
      <c r="G1459" s="163"/>
      <c r="H1459" s="163"/>
      <c r="I1459" s="163"/>
      <c r="J1459" s="163"/>
      <c r="K1459" s="163"/>
      <c r="L1459" s="163"/>
      <c r="M1459" s="163"/>
      <c r="N1459" s="163"/>
      <c r="O1459" s="163"/>
      <c r="P1459" s="163"/>
      <c r="Q1459" s="163"/>
      <c r="R1459" s="163"/>
      <c r="S1459" s="163"/>
      <c r="T1459" s="163"/>
      <c r="U1459" s="178" t="s">
        <v>1627</v>
      </c>
      <c r="V1459" s="165"/>
      <c r="W1459" s="451">
        <v>0</v>
      </c>
      <c r="X1459" s="165">
        <v>40212500</v>
      </c>
      <c r="Y1459" s="165"/>
    </row>
    <row r="1460" spans="1:25">
      <c r="A1460" s="162"/>
      <c r="B1460" s="163"/>
      <c r="C1460" s="163"/>
      <c r="D1460" s="163"/>
      <c r="E1460" s="163"/>
      <c r="F1460" s="163"/>
      <c r="G1460" s="163"/>
      <c r="H1460" s="163"/>
      <c r="I1460" s="163"/>
      <c r="J1460" s="163"/>
      <c r="K1460" s="163"/>
      <c r="L1460" s="163"/>
      <c r="M1460" s="163"/>
      <c r="N1460" s="163"/>
      <c r="O1460" s="163"/>
      <c r="P1460" s="163"/>
      <c r="Q1460" s="163"/>
      <c r="R1460" s="163"/>
      <c r="S1460" s="207"/>
      <c r="T1460" s="163"/>
      <c r="U1460" s="178" t="s">
        <v>2551</v>
      </c>
      <c r="V1460" s="165">
        <v>7803000</v>
      </c>
      <c r="W1460" s="451">
        <v>0</v>
      </c>
      <c r="X1460" s="165"/>
      <c r="Y1460" s="165"/>
    </row>
    <row r="1461" spans="1:25">
      <c r="A1461" s="162"/>
      <c r="B1461" s="163"/>
      <c r="C1461" s="163"/>
      <c r="D1461" s="163"/>
      <c r="E1461" s="163"/>
      <c r="F1461" s="163"/>
      <c r="G1461" s="163"/>
      <c r="H1461" s="163"/>
      <c r="I1461" s="163"/>
      <c r="J1461" s="163"/>
      <c r="K1461" s="163"/>
      <c r="L1461" s="163"/>
      <c r="M1461" s="163"/>
      <c r="N1461" s="163"/>
      <c r="O1461" s="163"/>
      <c r="P1461" s="163"/>
      <c r="Q1461" s="163"/>
      <c r="R1461" s="163"/>
      <c r="S1461" s="207"/>
      <c r="T1461" s="163"/>
      <c r="U1461" s="178" t="s">
        <v>1628</v>
      </c>
      <c r="V1461" s="165">
        <v>24730000</v>
      </c>
      <c r="W1461" s="451">
        <v>0</v>
      </c>
      <c r="X1461" s="165"/>
      <c r="Y1461" s="165"/>
    </row>
    <row r="1462" spans="1:25" ht="25.5">
      <c r="A1462" s="162"/>
      <c r="B1462" s="163"/>
      <c r="C1462" s="163"/>
      <c r="D1462" s="163"/>
      <c r="E1462" s="163"/>
      <c r="F1462" s="163"/>
      <c r="G1462" s="163"/>
      <c r="H1462" s="163"/>
      <c r="I1462" s="163"/>
      <c r="J1462" s="163"/>
      <c r="K1462" s="163"/>
      <c r="L1462" s="163"/>
      <c r="M1462" s="163"/>
      <c r="N1462" s="163"/>
      <c r="O1462" s="163"/>
      <c r="P1462" s="163"/>
      <c r="Q1462" s="163"/>
      <c r="R1462" s="163"/>
      <c r="S1462" s="207"/>
      <c r="T1462" s="163"/>
      <c r="U1462" s="178" t="s">
        <v>2000</v>
      </c>
      <c r="V1462" s="165">
        <v>2101000</v>
      </c>
      <c r="W1462" s="451">
        <v>0</v>
      </c>
      <c r="X1462" s="165"/>
      <c r="Y1462" s="165"/>
    </row>
    <row r="1463" spans="1:25">
      <c r="A1463" s="162"/>
      <c r="B1463" s="163"/>
      <c r="C1463" s="163"/>
      <c r="D1463" s="163"/>
      <c r="E1463" s="163"/>
      <c r="F1463" s="163"/>
      <c r="G1463" s="163"/>
      <c r="H1463" s="163"/>
      <c r="I1463" s="163"/>
      <c r="J1463" s="163"/>
      <c r="K1463" s="163"/>
      <c r="L1463" s="163"/>
      <c r="M1463" s="163"/>
      <c r="N1463" s="163"/>
      <c r="O1463" s="163"/>
      <c r="P1463" s="163"/>
      <c r="Q1463" s="163"/>
      <c r="R1463" s="163"/>
      <c r="S1463" s="207"/>
      <c r="T1463" s="163"/>
      <c r="U1463" s="178" t="s">
        <v>2001</v>
      </c>
      <c r="V1463" s="165">
        <v>8705050</v>
      </c>
      <c r="W1463" s="451">
        <v>0</v>
      </c>
      <c r="X1463" s="165"/>
      <c r="Y1463" s="165"/>
    </row>
    <row r="1464" spans="1:25">
      <c r="A1464" s="162"/>
      <c r="B1464" s="163"/>
      <c r="C1464" s="163"/>
      <c r="D1464" s="163"/>
      <c r="E1464" s="163"/>
      <c r="F1464" s="163"/>
      <c r="G1464" s="163"/>
      <c r="H1464" s="163"/>
      <c r="I1464" s="163"/>
      <c r="J1464" s="163"/>
      <c r="K1464" s="163"/>
      <c r="L1464" s="163"/>
      <c r="M1464" s="163"/>
      <c r="N1464" s="163"/>
      <c r="O1464" s="163"/>
      <c r="P1464" s="163"/>
      <c r="Q1464" s="163"/>
      <c r="R1464" s="163"/>
      <c r="S1464" s="207"/>
      <c r="T1464" s="163"/>
      <c r="U1464" s="178" t="s">
        <v>2552</v>
      </c>
      <c r="V1464" s="165">
        <v>1707500</v>
      </c>
      <c r="W1464" s="451">
        <v>0</v>
      </c>
      <c r="X1464" s="165"/>
      <c r="Y1464" s="165"/>
    </row>
    <row r="1465" spans="1:25">
      <c r="A1465" s="162"/>
      <c r="B1465" s="163"/>
      <c r="C1465" s="163"/>
      <c r="D1465" s="163"/>
      <c r="E1465" s="163"/>
      <c r="F1465" s="163"/>
      <c r="G1465" s="163"/>
      <c r="H1465" s="163"/>
      <c r="I1465" s="163"/>
      <c r="J1465" s="163"/>
      <c r="K1465" s="163"/>
      <c r="L1465" s="163"/>
      <c r="M1465" s="163"/>
      <c r="N1465" s="163"/>
      <c r="O1465" s="163"/>
      <c r="P1465" s="163"/>
      <c r="Q1465" s="163"/>
      <c r="R1465" s="163"/>
      <c r="S1465" s="207"/>
      <c r="T1465" s="163"/>
      <c r="U1465" s="178" t="s">
        <v>2553</v>
      </c>
      <c r="V1465" s="165">
        <v>1146500</v>
      </c>
      <c r="W1465" s="451">
        <v>0</v>
      </c>
      <c r="X1465" s="165"/>
      <c r="Y1465" s="165"/>
    </row>
    <row r="1466" spans="1:25">
      <c r="A1466" s="162"/>
      <c r="B1466" s="163"/>
      <c r="C1466" s="163"/>
      <c r="D1466" s="163"/>
      <c r="E1466" s="163"/>
      <c r="F1466" s="163"/>
      <c r="G1466" s="163"/>
      <c r="H1466" s="163"/>
      <c r="I1466" s="163"/>
      <c r="J1466" s="163"/>
      <c r="K1466" s="163"/>
      <c r="L1466" s="163"/>
      <c r="M1466" s="163"/>
      <c r="N1466" s="163"/>
      <c r="O1466" s="163"/>
      <c r="P1466" s="163"/>
      <c r="Q1466" s="163"/>
      <c r="R1466" s="163"/>
      <c r="S1466" s="207"/>
      <c r="T1466" s="163"/>
      <c r="U1466" s="178" t="s">
        <v>2554</v>
      </c>
      <c r="V1466" s="165">
        <v>1555500</v>
      </c>
      <c r="W1466" s="451">
        <v>0</v>
      </c>
      <c r="X1466" s="165"/>
      <c r="Y1466" s="165"/>
    </row>
    <row r="1467" spans="1:25" s="184" customFormat="1">
      <c r="A1467" s="181"/>
      <c r="B1467" s="182"/>
      <c r="C1467" s="182"/>
      <c r="D1467" s="182"/>
      <c r="E1467" s="182"/>
      <c r="F1467" s="182"/>
      <c r="G1467" s="182"/>
      <c r="H1467" s="182"/>
      <c r="I1467" s="182"/>
      <c r="J1467" s="182"/>
      <c r="K1467" s="182"/>
      <c r="L1467" s="182"/>
      <c r="M1467" s="182"/>
      <c r="N1467" s="182"/>
      <c r="O1467" s="182"/>
      <c r="P1467" s="182"/>
      <c r="Q1467" s="182"/>
      <c r="R1467" s="182"/>
      <c r="S1467" s="182"/>
      <c r="T1467" s="182"/>
      <c r="U1467" s="183"/>
      <c r="V1467" s="168">
        <f t="shared" ref="V1467:Y1467" si="147">SUM(V1452:V1466)</f>
        <v>47748550</v>
      </c>
      <c r="W1467" s="334">
        <f t="shared" si="147"/>
        <v>87775000</v>
      </c>
      <c r="X1467" s="168">
        <f t="shared" si="147"/>
        <v>70425000</v>
      </c>
      <c r="Y1467" s="168">
        <f t="shared" si="147"/>
        <v>0</v>
      </c>
    </row>
    <row r="1473" spans="1:25" ht="26.25">
      <c r="A1473" s="175" t="s">
        <v>2154</v>
      </c>
      <c r="B1473" s="176"/>
      <c r="C1473" s="176"/>
      <c r="D1473" s="176"/>
      <c r="E1473" s="176"/>
      <c r="F1473" s="176"/>
      <c r="G1473" s="176"/>
      <c r="H1473" s="176"/>
      <c r="I1473" s="176"/>
      <c r="J1473" s="176"/>
      <c r="K1473" s="176"/>
      <c r="L1473" s="176"/>
      <c r="M1473" s="176"/>
      <c r="N1473" s="176"/>
      <c r="O1473" s="176"/>
      <c r="P1473" s="176"/>
      <c r="Q1473" s="176"/>
      <c r="R1473" s="176"/>
      <c r="S1473" s="176"/>
      <c r="T1473" s="176"/>
      <c r="U1473" s="176"/>
      <c r="V1473" s="176"/>
      <c r="W1473" s="345"/>
      <c r="X1473" s="176"/>
      <c r="Y1473" s="176"/>
    </row>
    <row r="1474" spans="1:25">
      <c r="A1474" s="162"/>
      <c r="B1474" s="163"/>
      <c r="C1474" s="163"/>
      <c r="D1474" s="163"/>
      <c r="E1474" s="163"/>
      <c r="F1474" s="163"/>
      <c r="G1474" s="163"/>
      <c r="H1474" s="163"/>
      <c r="I1474" s="163"/>
      <c r="J1474" s="163"/>
      <c r="K1474" s="163"/>
      <c r="L1474" s="163"/>
      <c r="M1474" s="163"/>
      <c r="N1474" s="163"/>
      <c r="O1474" s="163"/>
      <c r="P1474" s="163"/>
      <c r="Q1474" s="163"/>
      <c r="R1474" s="163"/>
      <c r="S1474" s="163"/>
      <c r="T1474" s="163"/>
      <c r="U1474" s="178" t="s">
        <v>2555</v>
      </c>
      <c r="V1474" s="165"/>
      <c r="W1474" s="451">
        <v>0</v>
      </c>
      <c r="X1474" s="165">
        <v>0</v>
      </c>
      <c r="Y1474" s="165">
        <v>0</v>
      </c>
    </row>
    <row r="1475" spans="1:25" ht="25.5">
      <c r="A1475" s="162"/>
      <c r="B1475" s="163"/>
      <c r="C1475" s="163"/>
      <c r="D1475" s="163"/>
      <c r="E1475" s="163"/>
      <c r="F1475" s="163"/>
      <c r="G1475" s="163"/>
      <c r="H1475" s="163"/>
      <c r="I1475" s="163"/>
      <c r="J1475" s="163"/>
      <c r="K1475" s="163"/>
      <c r="L1475" s="163"/>
      <c r="M1475" s="163"/>
      <c r="N1475" s="163"/>
      <c r="O1475" s="163"/>
      <c r="P1475" s="163"/>
      <c r="Q1475" s="163"/>
      <c r="R1475" s="163"/>
      <c r="S1475" s="163"/>
      <c r="T1475" s="163"/>
      <c r="U1475" s="178" t="s">
        <v>1629</v>
      </c>
      <c r="V1475" s="165"/>
      <c r="W1475" s="451">
        <v>34384704.379999995</v>
      </c>
      <c r="X1475" s="165">
        <v>0</v>
      </c>
      <c r="Y1475" s="165">
        <v>0</v>
      </c>
    </row>
    <row r="1476" spans="1:25" ht="25.5">
      <c r="A1476" s="162"/>
      <c r="B1476" s="163"/>
      <c r="C1476" s="163"/>
      <c r="D1476" s="163"/>
      <c r="E1476" s="163"/>
      <c r="F1476" s="163"/>
      <c r="G1476" s="163"/>
      <c r="H1476" s="163"/>
      <c r="I1476" s="163"/>
      <c r="J1476" s="163"/>
      <c r="K1476" s="163"/>
      <c r="L1476" s="163"/>
      <c r="M1476" s="163"/>
      <c r="N1476" s="163"/>
      <c r="O1476" s="163"/>
      <c r="P1476" s="163"/>
      <c r="Q1476" s="163"/>
      <c r="R1476" s="163"/>
      <c r="S1476" s="163"/>
      <c r="T1476" s="163"/>
      <c r="U1476" s="178" t="s">
        <v>2002</v>
      </c>
      <c r="V1476" s="165"/>
      <c r="W1476" s="451">
        <v>0</v>
      </c>
      <c r="X1476" s="165">
        <v>0</v>
      </c>
      <c r="Y1476" s="165">
        <v>40001464</v>
      </c>
    </row>
    <row r="1477" spans="1:25" ht="25.5">
      <c r="A1477" s="162"/>
      <c r="B1477" s="163"/>
      <c r="C1477" s="163"/>
      <c r="D1477" s="163"/>
      <c r="E1477" s="163"/>
      <c r="F1477" s="163"/>
      <c r="G1477" s="163"/>
      <c r="H1477" s="163"/>
      <c r="I1477" s="163"/>
      <c r="J1477" s="163"/>
      <c r="K1477" s="163"/>
      <c r="L1477" s="163"/>
      <c r="M1477" s="163"/>
      <c r="N1477" s="163"/>
      <c r="O1477" s="163"/>
      <c r="P1477" s="163"/>
      <c r="Q1477" s="163"/>
      <c r="R1477" s="163"/>
      <c r="S1477" s="163"/>
      <c r="T1477" s="163"/>
      <c r="U1477" s="178" t="s">
        <v>2556</v>
      </c>
      <c r="V1477" s="165"/>
      <c r="W1477" s="451">
        <v>0</v>
      </c>
      <c r="X1477" s="165">
        <v>11560340</v>
      </c>
      <c r="Y1477" s="165">
        <v>2000000</v>
      </c>
    </row>
    <row r="1478" spans="1:25">
      <c r="A1478" s="162"/>
      <c r="B1478" s="163"/>
      <c r="C1478" s="163"/>
      <c r="D1478" s="163"/>
      <c r="E1478" s="163"/>
      <c r="F1478" s="163"/>
      <c r="G1478" s="163"/>
      <c r="H1478" s="163"/>
      <c r="I1478" s="163"/>
      <c r="J1478" s="163"/>
      <c r="K1478" s="163"/>
      <c r="L1478" s="163"/>
      <c r="M1478" s="163"/>
      <c r="N1478" s="163"/>
      <c r="O1478" s="163"/>
      <c r="P1478" s="163"/>
      <c r="Q1478" s="163"/>
      <c r="R1478" s="163"/>
      <c r="S1478" s="163"/>
      <c r="T1478" s="163"/>
      <c r="U1478" s="178" t="s">
        <v>1630</v>
      </c>
      <c r="V1478" s="165"/>
      <c r="W1478" s="451">
        <v>0</v>
      </c>
      <c r="X1478" s="165">
        <v>0</v>
      </c>
      <c r="Y1478" s="165">
        <v>9000000</v>
      </c>
    </row>
    <row r="1479" spans="1:25" ht="25.5">
      <c r="A1479" s="162"/>
      <c r="B1479" s="163"/>
      <c r="C1479" s="163"/>
      <c r="D1479" s="163"/>
      <c r="E1479" s="163"/>
      <c r="F1479" s="163"/>
      <c r="G1479" s="163"/>
      <c r="H1479" s="163"/>
      <c r="I1479" s="163"/>
      <c r="J1479" s="163"/>
      <c r="K1479" s="163"/>
      <c r="L1479" s="163"/>
      <c r="M1479" s="163"/>
      <c r="N1479" s="163"/>
      <c r="O1479" s="163"/>
      <c r="P1479" s="163"/>
      <c r="Q1479" s="163"/>
      <c r="R1479" s="163"/>
      <c r="S1479" s="163"/>
      <c r="T1479" s="163"/>
      <c r="U1479" s="178" t="s">
        <v>1631</v>
      </c>
      <c r="V1479" s="165"/>
      <c r="W1479" s="451">
        <v>0</v>
      </c>
      <c r="X1479" s="165">
        <v>0</v>
      </c>
      <c r="Y1479" s="165">
        <v>21127933.5</v>
      </c>
    </row>
    <row r="1480" spans="1:25" ht="25.5">
      <c r="A1480" s="162"/>
      <c r="B1480" s="163"/>
      <c r="C1480" s="163"/>
      <c r="D1480" s="163"/>
      <c r="E1480" s="163"/>
      <c r="F1480" s="163"/>
      <c r="G1480" s="163"/>
      <c r="H1480" s="163"/>
      <c r="I1480" s="163"/>
      <c r="J1480" s="163"/>
      <c r="K1480" s="163"/>
      <c r="L1480" s="163"/>
      <c r="M1480" s="163"/>
      <c r="N1480" s="163"/>
      <c r="O1480" s="163"/>
      <c r="P1480" s="163"/>
      <c r="Q1480" s="163"/>
      <c r="R1480" s="163"/>
      <c r="S1480" s="163"/>
      <c r="T1480" s="163"/>
      <c r="U1480" s="178" t="s">
        <v>2003</v>
      </c>
      <c r="V1480" s="165"/>
      <c r="W1480" s="451">
        <v>37501443</v>
      </c>
      <c r="X1480" s="165">
        <v>0</v>
      </c>
      <c r="Y1480" s="165">
        <v>0</v>
      </c>
    </row>
    <row r="1481" spans="1:25" ht="25.5">
      <c r="A1481" s="162"/>
      <c r="B1481" s="163"/>
      <c r="C1481" s="163"/>
      <c r="D1481" s="163"/>
      <c r="E1481" s="163"/>
      <c r="F1481" s="163"/>
      <c r="G1481" s="163"/>
      <c r="H1481" s="163"/>
      <c r="I1481" s="163"/>
      <c r="J1481" s="163"/>
      <c r="K1481" s="163"/>
      <c r="L1481" s="163"/>
      <c r="M1481" s="163"/>
      <c r="N1481" s="163"/>
      <c r="O1481" s="163"/>
      <c r="P1481" s="163"/>
      <c r="Q1481" s="163"/>
      <c r="R1481" s="163"/>
      <c r="S1481" s="163"/>
      <c r="T1481" s="163"/>
      <c r="U1481" s="178" t="s">
        <v>1632</v>
      </c>
      <c r="V1481" s="165"/>
      <c r="W1481" s="451">
        <v>0</v>
      </c>
      <c r="X1481" s="165">
        <v>0</v>
      </c>
      <c r="Y1481" s="165">
        <v>21203322</v>
      </c>
    </row>
    <row r="1482" spans="1:25" ht="25.5">
      <c r="A1482" s="162"/>
      <c r="B1482" s="163"/>
      <c r="C1482" s="163"/>
      <c r="D1482" s="163"/>
      <c r="E1482" s="163"/>
      <c r="F1482" s="163"/>
      <c r="G1482" s="163"/>
      <c r="H1482" s="163"/>
      <c r="I1482" s="163"/>
      <c r="J1482" s="163"/>
      <c r="K1482" s="163"/>
      <c r="L1482" s="163"/>
      <c r="M1482" s="163"/>
      <c r="N1482" s="163"/>
      <c r="O1482" s="163"/>
      <c r="P1482" s="163"/>
      <c r="Q1482" s="163"/>
      <c r="R1482" s="163"/>
      <c r="S1482" s="163"/>
      <c r="T1482" s="163"/>
      <c r="U1482" s="178" t="s">
        <v>2557</v>
      </c>
      <c r="V1482" s="165"/>
      <c r="W1482" s="451">
        <v>21203000</v>
      </c>
      <c r="X1482" s="165">
        <v>0</v>
      </c>
      <c r="Y1482" s="165">
        <v>0</v>
      </c>
    </row>
    <row r="1483" spans="1:25" ht="25.5">
      <c r="A1483" s="162"/>
      <c r="B1483" s="163"/>
      <c r="C1483" s="163"/>
      <c r="D1483" s="163"/>
      <c r="E1483" s="163"/>
      <c r="F1483" s="163"/>
      <c r="G1483" s="163"/>
      <c r="H1483" s="163"/>
      <c r="I1483" s="163"/>
      <c r="J1483" s="163"/>
      <c r="K1483" s="163"/>
      <c r="L1483" s="163"/>
      <c r="M1483" s="163"/>
      <c r="N1483" s="163"/>
      <c r="O1483" s="163"/>
      <c r="P1483" s="163"/>
      <c r="Q1483" s="163"/>
      <c r="R1483" s="163"/>
      <c r="S1483" s="163"/>
      <c r="T1483" s="163"/>
      <c r="U1483" s="178" t="s">
        <v>2558</v>
      </c>
      <c r="V1483" s="165"/>
      <c r="W1483" s="451">
        <v>0</v>
      </c>
      <c r="X1483" s="165">
        <v>15747350.300000001</v>
      </c>
      <c r="Y1483" s="165">
        <v>0</v>
      </c>
    </row>
    <row r="1484" spans="1:25" ht="25.5">
      <c r="A1484" s="162"/>
      <c r="B1484" s="163"/>
      <c r="C1484" s="163"/>
      <c r="D1484" s="163"/>
      <c r="E1484" s="163"/>
      <c r="F1484" s="163"/>
      <c r="G1484" s="163"/>
      <c r="H1484" s="163"/>
      <c r="I1484" s="163"/>
      <c r="J1484" s="163"/>
      <c r="K1484" s="163"/>
      <c r="L1484" s="163"/>
      <c r="M1484" s="163"/>
      <c r="N1484" s="163"/>
      <c r="O1484" s="163"/>
      <c r="P1484" s="163"/>
      <c r="Q1484" s="163"/>
      <c r="R1484" s="163"/>
      <c r="S1484" s="163"/>
      <c r="T1484" s="163"/>
      <c r="U1484" s="178" t="s">
        <v>1633</v>
      </c>
      <c r="V1484" s="165"/>
      <c r="W1484" s="451">
        <v>0</v>
      </c>
      <c r="X1484" s="165">
        <v>27632968.199999999</v>
      </c>
      <c r="Y1484" s="165">
        <v>10450230</v>
      </c>
    </row>
    <row r="1485" spans="1:25" ht="25.5">
      <c r="A1485" s="162"/>
      <c r="B1485" s="163"/>
      <c r="C1485" s="163"/>
      <c r="D1485" s="163"/>
      <c r="E1485" s="163"/>
      <c r="F1485" s="163"/>
      <c r="G1485" s="163"/>
      <c r="H1485" s="163"/>
      <c r="I1485" s="163"/>
      <c r="J1485" s="163"/>
      <c r="K1485" s="163"/>
      <c r="L1485" s="163"/>
      <c r="M1485" s="163"/>
      <c r="N1485" s="163"/>
      <c r="O1485" s="163"/>
      <c r="P1485" s="163"/>
      <c r="Q1485" s="163"/>
      <c r="R1485" s="163"/>
      <c r="S1485" s="163"/>
      <c r="T1485" s="163"/>
      <c r="U1485" s="178" t="s">
        <v>2155</v>
      </c>
      <c r="V1485" s="165"/>
      <c r="W1485" s="451">
        <v>0</v>
      </c>
      <c r="X1485" s="165">
        <v>21123020</v>
      </c>
      <c r="Y1485" s="165">
        <v>10550000.5</v>
      </c>
    </row>
    <row r="1486" spans="1:25" ht="25.5">
      <c r="A1486" s="162"/>
      <c r="B1486" s="163"/>
      <c r="C1486" s="163"/>
      <c r="D1486" s="163"/>
      <c r="E1486" s="163"/>
      <c r="F1486" s="163"/>
      <c r="G1486" s="163"/>
      <c r="H1486" s="163"/>
      <c r="I1486" s="163"/>
      <c r="J1486" s="163"/>
      <c r="K1486" s="163"/>
      <c r="L1486" s="163"/>
      <c r="M1486" s="163"/>
      <c r="N1486" s="163"/>
      <c r="O1486" s="163"/>
      <c r="P1486" s="163"/>
      <c r="Q1486" s="163"/>
      <c r="R1486" s="163"/>
      <c r="S1486" s="163"/>
      <c r="T1486" s="163"/>
      <c r="U1486" s="178" t="s">
        <v>2602</v>
      </c>
      <c r="V1486" s="165"/>
      <c r="W1486" s="451">
        <v>0</v>
      </c>
      <c r="X1486" s="165">
        <v>40076583.130000003</v>
      </c>
      <c r="Y1486" s="165">
        <v>4495800.75</v>
      </c>
    </row>
    <row r="1487" spans="1:25">
      <c r="A1487" s="162"/>
      <c r="B1487" s="163"/>
      <c r="C1487" s="163"/>
      <c r="D1487" s="163"/>
      <c r="E1487" s="163"/>
      <c r="F1487" s="163"/>
      <c r="G1487" s="163"/>
      <c r="H1487" s="163"/>
      <c r="I1487" s="163"/>
      <c r="J1487" s="163"/>
      <c r="K1487" s="163"/>
      <c r="L1487" s="163"/>
      <c r="M1487" s="163"/>
      <c r="N1487" s="163"/>
      <c r="O1487" s="163"/>
      <c r="P1487" s="163"/>
      <c r="Q1487" s="163"/>
      <c r="R1487" s="163"/>
      <c r="S1487" s="163"/>
      <c r="T1487" s="163"/>
      <c r="U1487" s="178" t="s">
        <v>2004</v>
      </c>
      <c r="V1487" s="165"/>
      <c r="W1487" s="451">
        <v>0</v>
      </c>
      <c r="X1487" s="165">
        <v>37501443</v>
      </c>
      <c r="Y1487" s="165">
        <v>0</v>
      </c>
    </row>
    <row r="1488" spans="1:25" ht="25.5">
      <c r="A1488" s="162"/>
      <c r="B1488" s="163"/>
      <c r="C1488" s="163"/>
      <c r="D1488" s="163"/>
      <c r="E1488" s="163"/>
      <c r="F1488" s="163"/>
      <c r="G1488" s="163"/>
      <c r="H1488" s="163"/>
      <c r="I1488" s="163"/>
      <c r="J1488" s="163"/>
      <c r="K1488" s="163"/>
      <c r="L1488" s="163"/>
      <c r="M1488" s="163"/>
      <c r="N1488" s="163"/>
      <c r="O1488" s="163"/>
      <c r="P1488" s="163"/>
      <c r="Q1488" s="163"/>
      <c r="R1488" s="163"/>
      <c r="S1488" s="163"/>
      <c r="T1488" s="163"/>
      <c r="U1488" s="178" t="s">
        <v>2601</v>
      </c>
      <c r="V1488" s="165"/>
      <c r="W1488" s="451">
        <v>0</v>
      </c>
      <c r="X1488" s="165">
        <v>25333633.5</v>
      </c>
      <c r="Y1488" s="165">
        <v>0</v>
      </c>
    </row>
    <row r="1489" spans="1:25" ht="25.5">
      <c r="A1489" s="162"/>
      <c r="B1489" s="163"/>
      <c r="C1489" s="163"/>
      <c r="D1489" s="163"/>
      <c r="E1489" s="163"/>
      <c r="F1489" s="163"/>
      <c r="G1489" s="163"/>
      <c r="H1489" s="163"/>
      <c r="I1489" s="163"/>
      <c r="J1489" s="163"/>
      <c r="K1489" s="163"/>
      <c r="L1489" s="163"/>
      <c r="M1489" s="163"/>
      <c r="N1489" s="163"/>
      <c r="O1489" s="163"/>
      <c r="P1489" s="163"/>
      <c r="Q1489" s="163"/>
      <c r="R1489" s="163"/>
      <c r="S1489" s="163"/>
      <c r="T1489" s="163"/>
      <c r="U1489" s="178" t="s">
        <v>2600</v>
      </c>
      <c r="V1489" s="165"/>
      <c r="W1489" s="451">
        <v>0</v>
      </c>
      <c r="X1489" s="165">
        <v>0</v>
      </c>
      <c r="Y1489" s="165">
        <v>35403322.5</v>
      </c>
    </row>
    <row r="1490" spans="1:25" ht="25.5">
      <c r="A1490" s="162"/>
      <c r="B1490" s="163"/>
      <c r="C1490" s="163"/>
      <c r="D1490" s="163"/>
      <c r="E1490" s="163"/>
      <c r="F1490" s="163"/>
      <c r="G1490" s="163"/>
      <c r="H1490" s="163"/>
      <c r="I1490" s="163"/>
      <c r="J1490" s="163"/>
      <c r="K1490" s="163"/>
      <c r="L1490" s="163"/>
      <c r="M1490" s="163"/>
      <c r="N1490" s="163"/>
      <c r="O1490" s="163"/>
      <c r="P1490" s="163"/>
      <c r="Q1490" s="163"/>
      <c r="R1490" s="163"/>
      <c r="S1490" s="163"/>
      <c r="T1490" s="163"/>
      <c r="U1490" s="178" t="s">
        <v>2005</v>
      </c>
      <c r="V1490" s="165"/>
      <c r="W1490" s="451">
        <v>0</v>
      </c>
      <c r="X1490" s="165">
        <v>5843670</v>
      </c>
      <c r="Y1490" s="165">
        <v>0</v>
      </c>
    </row>
    <row r="1491" spans="1:25">
      <c r="A1491" s="162"/>
      <c r="B1491" s="163"/>
      <c r="C1491" s="163"/>
      <c r="D1491" s="163"/>
      <c r="E1491" s="163"/>
      <c r="F1491" s="163"/>
      <c r="G1491" s="163"/>
      <c r="H1491" s="163"/>
      <c r="I1491" s="163"/>
      <c r="J1491" s="163"/>
      <c r="K1491" s="163"/>
      <c r="L1491" s="163"/>
      <c r="M1491" s="163"/>
      <c r="N1491" s="163"/>
      <c r="O1491" s="163"/>
      <c r="P1491" s="163"/>
      <c r="Q1491" s="163"/>
      <c r="R1491" s="163"/>
      <c r="S1491" s="163"/>
      <c r="T1491" s="163"/>
      <c r="U1491" s="178" t="s">
        <v>2006</v>
      </c>
      <c r="V1491" s="165"/>
      <c r="W1491" s="451">
        <v>0</v>
      </c>
      <c r="X1491" s="165">
        <v>10056438.539999999</v>
      </c>
      <c r="Y1491" s="165">
        <v>0</v>
      </c>
    </row>
    <row r="1492" spans="1:25" ht="25.5">
      <c r="A1492" s="162"/>
      <c r="B1492" s="163"/>
      <c r="C1492" s="163"/>
      <c r="D1492" s="163"/>
      <c r="E1492" s="163"/>
      <c r="F1492" s="163"/>
      <c r="G1492" s="163"/>
      <c r="H1492" s="163"/>
      <c r="I1492" s="163"/>
      <c r="J1492" s="163"/>
      <c r="K1492" s="163"/>
      <c r="L1492" s="163"/>
      <c r="M1492" s="163"/>
      <c r="N1492" s="163"/>
      <c r="O1492" s="163"/>
      <c r="P1492" s="163"/>
      <c r="Q1492" s="163"/>
      <c r="R1492" s="163"/>
      <c r="S1492" s="163"/>
      <c r="T1492" s="163"/>
      <c r="U1492" s="178" t="s">
        <v>2603</v>
      </c>
      <c r="V1492" s="165"/>
      <c r="W1492" s="451">
        <v>0</v>
      </c>
      <c r="X1492" s="165">
        <v>10070040.75</v>
      </c>
      <c r="Y1492" s="165">
        <v>0</v>
      </c>
    </row>
    <row r="1493" spans="1:25" ht="25.5">
      <c r="A1493" s="162"/>
      <c r="B1493" s="163"/>
      <c r="C1493" s="163"/>
      <c r="D1493" s="163"/>
      <c r="E1493" s="163"/>
      <c r="F1493" s="163"/>
      <c r="G1493" s="163"/>
      <c r="H1493" s="163"/>
      <c r="I1493" s="163"/>
      <c r="J1493" s="163"/>
      <c r="K1493" s="163"/>
      <c r="L1493" s="163"/>
      <c r="M1493" s="163"/>
      <c r="N1493" s="163"/>
      <c r="O1493" s="163"/>
      <c r="P1493" s="163"/>
      <c r="Q1493" s="163"/>
      <c r="R1493" s="163"/>
      <c r="S1493" s="163"/>
      <c r="T1493" s="163"/>
      <c r="U1493" s="178" t="s">
        <v>2604</v>
      </c>
      <c r="V1493" s="165"/>
      <c r="W1493" s="451">
        <v>0</v>
      </c>
      <c r="X1493" s="165">
        <v>0</v>
      </c>
      <c r="Y1493" s="165">
        <v>32478391</v>
      </c>
    </row>
    <row r="1494" spans="1:25">
      <c r="A1494" s="162"/>
      <c r="B1494" s="163"/>
      <c r="C1494" s="163"/>
      <c r="D1494" s="163"/>
      <c r="E1494" s="163"/>
      <c r="F1494" s="163"/>
      <c r="G1494" s="163"/>
      <c r="H1494" s="163"/>
      <c r="I1494" s="163"/>
      <c r="J1494" s="163"/>
      <c r="K1494" s="163"/>
      <c r="L1494" s="163"/>
      <c r="M1494" s="163"/>
      <c r="N1494" s="163"/>
      <c r="O1494" s="163"/>
      <c r="P1494" s="163"/>
      <c r="Q1494" s="163"/>
      <c r="R1494" s="163"/>
      <c r="S1494" s="163"/>
      <c r="T1494" s="163"/>
      <c r="U1494" s="178" t="s">
        <v>1634</v>
      </c>
      <c r="V1494" s="165"/>
      <c r="W1494" s="451">
        <v>0</v>
      </c>
      <c r="X1494" s="165">
        <v>0</v>
      </c>
      <c r="Y1494" s="165">
        <v>15115259.26</v>
      </c>
    </row>
    <row r="1495" spans="1:25" ht="25.5">
      <c r="A1495" s="162"/>
      <c r="B1495" s="163"/>
      <c r="C1495" s="163"/>
      <c r="D1495" s="163"/>
      <c r="E1495" s="163"/>
      <c r="F1495" s="163"/>
      <c r="G1495" s="163"/>
      <c r="H1495" s="163"/>
      <c r="I1495" s="163"/>
      <c r="J1495" s="163"/>
      <c r="K1495" s="163"/>
      <c r="L1495" s="163"/>
      <c r="M1495" s="163"/>
      <c r="N1495" s="163"/>
      <c r="O1495" s="163"/>
      <c r="P1495" s="163"/>
      <c r="Q1495" s="163"/>
      <c r="R1495" s="163"/>
      <c r="S1495" s="163"/>
      <c r="T1495" s="163"/>
      <c r="U1495" s="178" t="s">
        <v>2007</v>
      </c>
      <c r="V1495" s="165"/>
      <c r="W1495" s="451">
        <v>2995859.26</v>
      </c>
      <c r="X1495" s="165">
        <v>0</v>
      </c>
      <c r="Y1495" s="165">
        <v>57100293</v>
      </c>
    </row>
    <row r="1496" spans="1:25" ht="25.5">
      <c r="A1496" s="162"/>
      <c r="B1496" s="163"/>
      <c r="C1496" s="163"/>
      <c r="D1496" s="163"/>
      <c r="E1496" s="163"/>
      <c r="F1496" s="163"/>
      <c r="G1496" s="163"/>
      <c r="H1496" s="163"/>
      <c r="I1496" s="163"/>
      <c r="J1496" s="163"/>
      <c r="K1496" s="163"/>
      <c r="L1496" s="163"/>
      <c r="M1496" s="163"/>
      <c r="N1496" s="163"/>
      <c r="O1496" s="163"/>
      <c r="P1496" s="163"/>
      <c r="Q1496" s="163"/>
      <c r="R1496" s="163"/>
      <c r="S1496" s="163"/>
      <c r="T1496" s="163"/>
      <c r="U1496" s="178" t="s">
        <v>2559</v>
      </c>
      <c r="V1496" s="165"/>
      <c r="W1496" s="451">
        <v>0</v>
      </c>
      <c r="X1496" s="165">
        <v>0</v>
      </c>
      <c r="Y1496" s="165">
        <v>9879177</v>
      </c>
    </row>
    <row r="1497" spans="1:25">
      <c r="A1497" s="162"/>
      <c r="B1497" s="163"/>
      <c r="C1497" s="163"/>
      <c r="D1497" s="163"/>
      <c r="E1497" s="163"/>
      <c r="F1497" s="163"/>
      <c r="G1497" s="163"/>
      <c r="H1497" s="163"/>
      <c r="I1497" s="163"/>
      <c r="J1497" s="163"/>
      <c r="K1497" s="163"/>
      <c r="L1497" s="163"/>
      <c r="M1497" s="163"/>
      <c r="N1497" s="163"/>
      <c r="O1497" s="163"/>
      <c r="P1497" s="163"/>
      <c r="Q1497" s="163"/>
      <c r="R1497" s="163"/>
      <c r="S1497" s="163"/>
      <c r="T1497" s="163"/>
      <c r="U1497" s="178" t="s">
        <v>1635</v>
      </c>
      <c r="V1497" s="165"/>
      <c r="W1497" s="451">
        <v>0</v>
      </c>
      <c r="X1497" s="165">
        <v>0</v>
      </c>
      <c r="Y1497" s="165">
        <v>13426721</v>
      </c>
    </row>
    <row r="1498" spans="1:25" ht="38.25">
      <c r="A1498" s="162"/>
      <c r="B1498" s="163"/>
      <c r="C1498" s="163"/>
      <c r="D1498" s="163"/>
      <c r="E1498" s="163"/>
      <c r="F1498" s="163"/>
      <c r="G1498" s="163"/>
      <c r="H1498" s="163"/>
      <c r="I1498" s="163"/>
      <c r="J1498" s="163"/>
      <c r="K1498" s="163"/>
      <c r="L1498" s="163"/>
      <c r="M1498" s="163"/>
      <c r="N1498" s="163"/>
      <c r="O1498" s="163"/>
      <c r="P1498" s="163"/>
      <c r="Q1498" s="163"/>
      <c r="R1498" s="163"/>
      <c r="S1498" s="163"/>
      <c r="T1498" s="163"/>
      <c r="U1498" s="178" t="s">
        <v>1636</v>
      </c>
      <c r="V1498" s="165"/>
      <c r="W1498" s="451">
        <v>3200000</v>
      </c>
      <c r="X1498" s="165">
        <v>0</v>
      </c>
      <c r="Y1498" s="165">
        <v>0</v>
      </c>
    </row>
    <row r="1499" spans="1:25" ht="25.5">
      <c r="A1499" s="162"/>
      <c r="B1499" s="163"/>
      <c r="C1499" s="163"/>
      <c r="D1499" s="163"/>
      <c r="E1499" s="163"/>
      <c r="F1499" s="163"/>
      <c r="G1499" s="163"/>
      <c r="H1499" s="163"/>
      <c r="I1499" s="163"/>
      <c r="J1499" s="163"/>
      <c r="K1499" s="163"/>
      <c r="L1499" s="163"/>
      <c r="M1499" s="163"/>
      <c r="N1499" s="163"/>
      <c r="O1499" s="163"/>
      <c r="P1499" s="163"/>
      <c r="Q1499" s="163"/>
      <c r="R1499" s="163"/>
      <c r="S1499" s="163"/>
      <c r="T1499" s="163"/>
      <c r="U1499" s="178" t="s">
        <v>1637</v>
      </c>
      <c r="V1499" s="165"/>
      <c r="W1499" s="451">
        <v>2500000</v>
      </c>
      <c r="X1499" s="165">
        <v>0</v>
      </c>
      <c r="Y1499" s="165">
        <v>0</v>
      </c>
    </row>
    <row r="1500" spans="1:25" ht="25.5">
      <c r="A1500" s="162"/>
      <c r="B1500" s="163"/>
      <c r="C1500" s="163"/>
      <c r="D1500" s="163"/>
      <c r="E1500" s="163"/>
      <c r="F1500" s="163"/>
      <c r="G1500" s="163"/>
      <c r="H1500" s="163"/>
      <c r="I1500" s="163"/>
      <c r="J1500" s="163"/>
      <c r="K1500" s="163"/>
      <c r="L1500" s="163"/>
      <c r="M1500" s="163"/>
      <c r="N1500" s="163"/>
      <c r="O1500" s="163"/>
      <c r="P1500" s="163"/>
      <c r="Q1500" s="163"/>
      <c r="R1500" s="163"/>
      <c r="S1500" s="163"/>
      <c r="T1500" s="163"/>
      <c r="U1500" s="178" t="s">
        <v>1638</v>
      </c>
      <c r="V1500" s="165"/>
      <c r="W1500" s="451">
        <v>2000000</v>
      </c>
      <c r="X1500" s="165">
        <v>0</v>
      </c>
      <c r="Y1500" s="165">
        <v>0</v>
      </c>
    </row>
    <row r="1501" spans="1:25" ht="25.5">
      <c r="A1501" s="162"/>
      <c r="B1501" s="163"/>
      <c r="C1501" s="163"/>
      <c r="D1501" s="163"/>
      <c r="E1501" s="163"/>
      <c r="F1501" s="163"/>
      <c r="G1501" s="163"/>
      <c r="H1501" s="163"/>
      <c r="I1501" s="163"/>
      <c r="J1501" s="163"/>
      <c r="K1501" s="163"/>
      <c r="L1501" s="163"/>
      <c r="M1501" s="163"/>
      <c r="N1501" s="163"/>
      <c r="O1501" s="163"/>
      <c r="P1501" s="163"/>
      <c r="Q1501" s="163"/>
      <c r="R1501" s="163"/>
      <c r="S1501" s="163"/>
      <c r="T1501" s="163"/>
      <c r="U1501" s="178" t="s">
        <v>1639</v>
      </c>
      <c r="V1501" s="165"/>
      <c r="W1501" s="451">
        <v>4000000</v>
      </c>
      <c r="X1501" s="165">
        <v>0</v>
      </c>
      <c r="Y1501" s="165">
        <v>0</v>
      </c>
    </row>
    <row r="1502" spans="1:25" ht="38.25">
      <c r="A1502" s="162"/>
      <c r="B1502" s="163"/>
      <c r="C1502" s="163"/>
      <c r="D1502" s="163"/>
      <c r="E1502" s="163"/>
      <c r="F1502" s="163"/>
      <c r="G1502" s="163"/>
      <c r="H1502" s="163"/>
      <c r="I1502" s="163"/>
      <c r="J1502" s="163"/>
      <c r="K1502" s="163"/>
      <c r="L1502" s="163"/>
      <c r="M1502" s="163"/>
      <c r="N1502" s="163"/>
      <c r="O1502" s="163"/>
      <c r="P1502" s="163"/>
      <c r="Q1502" s="163"/>
      <c r="R1502" s="163"/>
      <c r="S1502" s="163"/>
      <c r="T1502" s="163"/>
      <c r="U1502" s="178" t="s">
        <v>1640</v>
      </c>
      <c r="V1502" s="165"/>
      <c r="W1502" s="451">
        <v>3200000</v>
      </c>
      <c r="X1502" s="165">
        <v>0</v>
      </c>
      <c r="Y1502" s="165">
        <v>0</v>
      </c>
    </row>
    <row r="1503" spans="1:25" ht="25.5">
      <c r="A1503" s="162"/>
      <c r="B1503" s="163"/>
      <c r="C1503" s="163"/>
      <c r="D1503" s="163"/>
      <c r="E1503" s="163"/>
      <c r="F1503" s="163"/>
      <c r="G1503" s="163"/>
      <c r="H1503" s="163"/>
      <c r="I1503" s="163"/>
      <c r="J1503" s="163"/>
      <c r="K1503" s="163"/>
      <c r="L1503" s="163"/>
      <c r="M1503" s="163"/>
      <c r="N1503" s="163"/>
      <c r="O1503" s="163"/>
      <c r="P1503" s="163"/>
      <c r="Q1503" s="163"/>
      <c r="R1503" s="163"/>
      <c r="S1503" s="163"/>
      <c r="T1503" s="163"/>
      <c r="U1503" s="178" t="s">
        <v>2008</v>
      </c>
      <c r="V1503" s="165"/>
      <c r="W1503" s="451">
        <v>1500000</v>
      </c>
      <c r="X1503" s="165">
        <v>0</v>
      </c>
      <c r="Y1503" s="165">
        <v>0</v>
      </c>
    </row>
    <row r="1504" spans="1:25" ht="38.25">
      <c r="A1504" s="162"/>
      <c r="B1504" s="163"/>
      <c r="C1504" s="163"/>
      <c r="D1504" s="163"/>
      <c r="E1504" s="163"/>
      <c r="F1504" s="163"/>
      <c r="G1504" s="163"/>
      <c r="H1504" s="163"/>
      <c r="I1504" s="163"/>
      <c r="J1504" s="163"/>
      <c r="K1504" s="163"/>
      <c r="L1504" s="163"/>
      <c r="M1504" s="163"/>
      <c r="N1504" s="163"/>
      <c r="O1504" s="163"/>
      <c r="P1504" s="163"/>
      <c r="Q1504" s="163"/>
      <c r="R1504" s="163"/>
      <c r="S1504" s="163"/>
      <c r="T1504" s="163"/>
      <c r="U1504" s="178" t="s">
        <v>1641</v>
      </c>
      <c r="V1504" s="165"/>
      <c r="W1504" s="451">
        <v>1700000</v>
      </c>
      <c r="X1504" s="165">
        <v>0</v>
      </c>
      <c r="Y1504" s="165">
        <v>0</v>
      </c>
    </row>
    <row r="1505" spans="1:25" ht="25.5">
      <c r="A1505" s="162"/>
      <c r="B1505" s="163"/>
      <c r="C1505" s="163"/>
      <c r="D1505" s="163"/>
      <c r="E1505" s="163"/>
      <c r="F1505" s="163"/>
      <c r="G1505" s="163"/>
      <c r="H1505" s="163"/>
      <c r="I1505" s="163"/>
      <c r="J1505" s="163"/>
      <c r="K1505" s="163"/>
      <c r="L1505" s="163"/>
      <c r="M1505" s="163"/>
      <c r="N1505" s="163"/>
      <c r="O1505" s="163"/>
      <c r="P1505" s="163"/>
      <c r="Q1505" s="163"/>
      <c r="R1505" s="163"/>
      <c r="S1505" s="163"/>
      <c r="T1505" s="163"/>
      <c r="U1505" s="178" t="s">
        <v>1642</v>
      </c>
      <c r="V1505" s="165"/>
      <c r="W1505" s="451">
        <v>0</v>
      </c>
      <c r="X1505" s="165">
        <v>56351867.25</v>
      </c>
      <c r="Y1505" s="165">
        <v>0</v>
      </c>
    </row>
    <row r="1506" spans="1:25" ht="25.5">
      <c r="A1506" s="162"/>
      <c r="B1506" s="163"/>
      <c r="C1506" s="163"/>
      <c r="D1506" s="163"/>
      <c r="E1506" s="163"/>
      <c r="F1506" s="163"/>
      <c r="G1506" s="163"/>
      <c r="H1506" s="163"/>
      <c r="I1506" s="163"/>
      <c r="J1506" s="163"/>
      <c r="K1506" s="163"/>
      <c r="L1506" s="163"/>
      <c r="M1506" s="163"/>
      <c r="N1506" s="163"/>
      <c r="O1506" s="163"/>
      <c r="P1506" s="163"/>
      <c r="Q1506" s="163"/>
      <c r="R1506" s="163"/>
      <c r="S1506" s="163"/>
      <c r="T1506" s="163"/>
      <c r="U1506" s="178" t="s">
        <v>2009</v>
      </c>
      <c r="V1506" s="165"/>
      <c r="W1506" s="451">
        <v>233805057.61000001</v>
      </c>
      <c r="X1506" s="165">
        <v>0</v>
      </c>
      <c r="Y1506" s="165">
        <v>0</v>
      </c>
    </row>
    <row r="1507" spans="1:25" ht="38.25">
      <c r="A1507" s="162"/>
      <c r="B1507" s="163"/>
      <c r="C1507" s="163"/>
      <c r="D1507" s="163"/>
      <c r="E1507" s="163"/>
      <c r="F1507" s="163"/>
      <c r="G1507" s="163"/>
      <c r="H1507" s="163"/>
      <c r="I1507" s="163"/>
      <c r="J1507" s="163"/>
      <c r="K1507" s="163"/>
      <c r="L1507" s="163"/>
      <c r="M1507" s="163"/>
      <c r="N1507" s="163"/>
      <c r="O1507" s="163"/>
      <c r="P1507" s="163"/>
      <c r="Q1507" s="163"/>
      <c r="R1507" s="163"/>
      <c r="S1507" s="163"/>
      <c r="T1507" s="163"/>
      <c r="U1507" s="178" t="s">
        <v>1643</v>
      </c>
      <c r="V1507" s="165">
        <v>3078000</v>
      </c>
      <c r="W1507" s="451">
        <v>0</v>
      </c>
      <c r="X1507" s="165"/>
      <c r="Y1507" s="165"/>
    </row>
    <row r="1508" spans="1:25">
      <c r="A1508" s="162"/>
      <c r="B1508" s="163"/>
      <c r="C1508" s="163"/>
      <c r="D1508" s="163"/>
      <c r="E1508" s="163"/>
      <c r="F1508" s="163"/>
      <c r="G1508" s="163"/>
      <c r="H1508" s="163"/>
      <c r="I1508" s="163"/>
      <c r="J1508" s="163"/>
      <c r="K1508" s="163"/>
      <c r="L1508" s="163"/>
      <c r="M1508" s="163"/>
      <c r="N1508" s="163"/>
      <c r="O1508" s="163"/>
      <c r="P1508" s="163"/>
      <c r="Q1508" s="163"/>
      <c r="R1508" s="163"/>
      <c r="S1508" s="163"/>
      <c r="T1508" s="163"/>
      <c r="U1508" s="178" t="s">
        <v>2010</v>
      </c>
      <c r="V1508" s="165">
        <v>100000000</v>
      </c>
      <c r="W1508" s="451">
        <v>0</v>
      </c>
      <c r="X1508" s="165"/>
      <c r="Y1508" s="165"/>
    </row>
    <row r="1509" spans="1:25">
      <c r="A1509" s="162"/>
      <c r="B1509" s="163"/>
      <c r="C1509" s="163"/>
      <c r="D1509" s="163"/>
      <c r="E1509" s="163"/>
      <c r="F1509" s="163"/>
      <c r="G1509" s="163"/>
      <c r="H1509" s="163"/>
      <c r="I1509" s="163"/>
      <c r="J1509" s="163"/>
      <c r="K1509" s="163"/>
      <c r="L1509" s="163"/>
      <c r="M1509" s="163"/>
      <c r="N1509" s="163"/>
      <c r="O1509" s="163"/>
      <c r="P1509" s="163"/>
      <c r="Q1509" s="163"/>
      <c r="R1509" s="163"/>
      <c r="S1509" s="163"/>
      <c r="T1509" s="163"/>
      <c r="U1509" s="178" t="s">
        <v>2011</v>
      </c>
      <c r="V1509" s="165">
        <v>28000000</v>
      </c>
      <c r="W1509" s="451">
        <v>0</v>
      </c>
      <c r="X1509" s="165">
        <v>10000000</v>
      </c>
      <c r="Y1509" s="165">
        <v>10000000</v>
      </c>
    </row>
    <row r="1510" spans="1:25">
      <c r="A1510" s="162"/>
      <c r="B1510" s="163"/>
      <c r="C1510" s="163"/>
      <c r="D1510" s="163"/>
      <c r="E1510" s="163"/>
      <c r="F1510" s="163"/>
      <c r="G1510" s="163"/>
      <c r="H1510" s="163"/>
      <c r="I1510" s="163"/>
      <c r="J1510" s="163"/>
      <c r="K1510" s="163"/>
      <c r="L1510" s="163"/>
      <c r="M1510" s="163"/>
      <c r="N1510" s="163"/>
      <c r="O1510" s="163"/>
      <c r="P1510" s="163"/>
      <c r="Q1510" s="163"/>
      <c r="R1510" s="163"/>
      <c r="S1510" s="163"/>
      <c r="T1510" s="163"/>
      <c r="U1510" s="178"/>
      <c r="V1510" s="165"/>
      <c r="W1510" s="451">
        <v>0</v>
      </c>
      <c r="X1510" s="165"/>
      <c r="Y1510" s="165"/>
    </row>
    <row r="1511" spans="1:25" s="184" customFormat="1">
      <c r="A1511" s="181"/>
      <c r="B1511" s="182"/>
      <c r="C1511" s="182"/>
      <c r="D1511" s="182"/>
      <c r="E1511" s="182"/>
      <c r="F1511" s="182"/>
      <c r="G1511" s="182"/>
      <c r="H1511" s="182"/>
      <c r="I1511" s="182"/>
      <c r="J1511" s="182"/>
      <c r="K1511" s="182"/>
      <c r="L1511" s="182"/>
      <c r="M1511" s="182"/>
      <c r="N1511" s="182"/>
      <c r="O1511" s="182"/>
      <c r="P1511" s="182"/>
      <c r="Q1511" s="182"/>
      <c r="R1511" s="182"/>
      <c r="S1511" s="182"/>
      <c r="T1511" s="182"/>
      <c r="U1511" s="182" t="s">
        <v>242</v>
      </c>
      <c r="V1511" s="168">
        <f t="shared" ref="V1511:Y1511" si="148">SUM(V1474:V1509)</f>
        <v>131078000</v>
      </c>
      <c r="W1511" s="334">
        <f t="shared" si="148"/>
        <v>347990064.25</v>
      </c>
      <c r="X1511" s="168">
        <f t="shared" si="148"/>
        <v>271297354.66999996</v>
      </c>
      <c r="Y1511" s="168">
        <f t="shared" si="148"/>
        <v>292231914.50999999</v>
      </c>
    </row>
    <row r="1512" spans="1:25" s="184" customFormat="1">
      <c r="A1512" s="188"/>
      <c r="B1512" s="189"/>
      <c r="C1512" s="189"/>
      <c r="D1512" s="189"/>
      <c r="E1512" s="189"/>
      <c r="F1512" s="189"/>
      <c r="G1512" s="189"/>
      <c r="H1512" s="189"/>
      <c r="I1512" s="189"/>
      <c r="J1512" s="189"/>
      <c r="K1512" s="189"/>
      <c r="L1512" s="189"/>
      <c r="M1512" s="189"/>
      <c r="N1512" s="189"/>
      <c r="O1512" s="189"/>
      <c r="P1512" s="189"/>
      <c r="Q1512" s="189"/>
      <c r="R1512" s="189"/>
      <c r="S1512" s="189"/>
      <c r="T1512" s="189"/>
      <c r="V1512" s="191"/>
      <c r="W1512" s="361"/>
      <c r="X1512" s="191"/>
      <c r="Y1512" s="191"/>
    </row>
    <row r="1513" spans="1:25" s="184" customFormat="1">
      <c r="A1513" s="188"/>
      <c r="B1513" s="189"/>
      <c r="C1513" s="189"/>
      <c r="D1513" s="189"/>
      <c r="E1513" s="189"/>
      <c r="F1513" s="189"/>
      <c r="G1513" s="189"/>
      <c r="H1513" s="189"/>
      <c r="I1513" s="189"/>
      <c r="J1513" s="189"/>
      <c r="K1513" s="189"/>
      <c r="L1513" s="189"/>
      <c r="M1513" s="189"/>
      <c r="N1513" s="189"/>
      <c r="O1513" s="189"/>
      <c r="P1513" s="189"/>
      <c r="Q1513" s="189"/>
      <c r="R1513" s="189"/>
      <c r="S1513" s="189"/>
      <c r="T1513" s="189"/>
      <c r="V1513" s="191"/>
      <c r="W1513" s="361"/>
      <c r="X1513" s="191"/>
      <c r="Y1513" s="191"/>
    </row>
    <row r="1514" spans="1:25">
      <c r="U1514" s="190" t="s">
        <v>1218</v>
      </c>
    </row>
    <row r="1515" spans="1:25">
      <c r="U1515" s="144" t="s">
        <v>2181</v>
      </c>
      <c r="V1515" s="145">
        <v>347990064.25</v>
      </c>
    </row>
    <row r="1520" spans="1:25" ht="26.25">
      <c r="A1520" s="175" t="s">
        <v>109</v>
      </c>
      <c r="B1520" s="176"/>
      <c r="C1520" s="176"/>
      <c r="D1520" s="176"/>
      <c r="E1520" s="176"/>
      <c r="F1520" s="176"/>
      <c r="G1520" s="176"/>
      <c r="H1520" s="176"/>
      <c r="I1520" s="176"/>
      <c r="J1520" s="176"/>
      <c r="K1520" s="176"/>
      <c r="L1520" s="176"/>
      <c r="M1520" s="176"/>
      <c r="N1520" s="176"/>
      <c r="O1520" s="176"/>
      <c r="P1520" s="176"/>
      <c r="Q1520" s="176"/>
      <c r="R1520" s="176"/>
      <c r="S1520" s="176"/>
      <c r="T1520" s="176"/>
      <c r="U1520" s="176"/>
      <c r="V1520" s="176"/>
      <c r="W1520" s="345"/>
      <c r="X1520" s="176"/>
      <c r="Y1520" s="176"/>
    </row>
    <row r="1521" spans="1:25">
      <c r="A1521" s="162"/>
      <c r="B1521" s="163"/>
      <c r="C1521" s="163"/>
      <c r="D1521" s="163"/>
      <c r="E1521" s="163"/>
      <c r="F1521" s="163"/>
      <c r="G1521" s="163"/>
      <c r="H1521" s="163"/>
      <c r="I1521" s="163"/>
      <c r="J1521" s="163"/>
      <c r="K1521" s="163"/>
      <c r="L1521" s="163"/>
      <c r="M1521" s="163"/>
      <c r="N1521" s="163"/>
      <c r="O1521" s="163"/>
      <c r="P1521" s="163"/>
      <c r="Q1521" s="163"/>
      <c r="R1521" s="163"/>
      <c r="S1521" s="163"/>
      <c r="T1521" s="163"/>
      <c r="U1521" s="178" t="s">
        <v>2012</v>
      </c>
      <c r="V1521" s="165">
        <v>1634555745.5</v>
      </c>
      <c r="W1521" s="451">
        <v>800802500</v>
      </c>
      <c r="X1521" s="165">
        <v>3668825967.5</v>
      </c>
      <c r="Y1521" s="165">
        <v>3668825967.5</v>
      </c>
    </row>
    <row r="1522" spans="1:25">
      <c r="A1522" s="162"/>
      <c r="B1522" s="163"/>
      <c r="C1522" s="163"/>
      <c r="D1522" s="163"/>
      <c r="E1522" s="163"/>
      <c r="F1522" s="163"/>
      <c r="G1522" s="163"/>
      <c r="H1522" s="163"/>
      <c r="I1522" s="163"/>
      <c r="J1522" s="163"/>
      <c r="K1522" s="163"/>
      <c r="L1522" s="163"/>
      <c r="M1522" s="163"/>
      <c r="N1522" s="163"/>
      <c r="O1522" s="163"/>
      <c r="P1522" s="163"/>
      <c r="Q1522" s="163"/>
      <c r="R1522" s="163"/>
      <c r="S1522" s="163"/>
      <c r="T1522" s="163"/>
      <c r="U1522" s="178" t="s">
        <v>2503</v>
      </c>
      <c r="V1522" s="165">
        <v>4000000000</v>
      </c>
      <c r="W1522" s="451">
        <v>3000000000</v>
      </c>
      <c r="X1522" s="349">
        <f t="shared" ref="X1522:Y1522" si="149">3000000000-605002500</f>
        <v>2394997500</v>
      </c>
      <c r="Y1522" s="349">
        <f t="shared" si="149"/>
        <v>2394997500</v>
      </c>
    </row>
    <row r="1523" spans="1:25">
      <c r="A1523" s="162"/>
      <c r="B1523" s="163"/>
      <c r="C1523" s="163"/>
      <c r="D1523" s="163"/>
      <c r="E1523" s="163"/>
      <c r="F1523" s="163"/>
      <c r="G1523" s="163"/>
      <c r="H1523" s="163"/>
      <c r="I1523" s="163"/>
      <c r="J1523" s="163"/>
      <c r="K1523" s="163"/>
      <c r="L1523" s="163"/>
      <c r="M1523" s="163"/>
      <c r="N1523" s="163"/>
      <c r="O1523" s="163"/>
      <c r="P1523" s="163"/>
      <c r="Q1523" s="163"/>
      <c r="R1523" s="163"/>
      <c r="S1523" s="163"/>
      <c r="T1523" s="163"/>
      <c r="U1523" s="178" t="s">
        <v>1560</v>
      </c>
      <c r="V1523" s="165">
        <v>36045000</v>
      </c>
      <c r="W1523" s="451">
        <v>0</v>
      </c>
      <c r="X1523" s="165"/>
      <c r="Y1523" s="165"/>
    </row>
    <row r="1524" spans="1:25">
      <c r="A1524" s="162"/>
      <c r="B1524" s="163"/>
      <c r="C1524" s="163"/>
      <c r="D1524" s="163"/>
      <c r="E1524" s="163"/>
      <c r="F1524" s="163"/>
      <c r="G1524" s="163"/>
      <c r="H1524" s="163"/>
      <c r="I1524" s="163"/>
      <c r="J1524" s="163"/>
      <c r="K1524" s="163"/>
      <c r="L1524" s="163"/>
      <c r="M1524" s="163"/>
      <c r="N1524" s="163"/>
      <c r="O1524" s="163"/>
      <c r="P1524" s="163"/>
      <c r="Q1524" s="163"/>
      <c r="R1524" s="163"/>
      <c r="S1524" s="163"/>
      <c r="T1524" s="163"/>
      <c r="U1524" s="178" t="s">
        <v>2160</v>
      </c>
      <c r="V1524" s="165"/>
      <c r="W1524" s="451">
        <v>1000000000</v>
      </c>
      <c r="X1524" s="165"/>
      <c r="Y1524" s="165"/>
    </row>
    <row r="1525" spans="1:25" s="184" customFormat="1">
      <c r="A1525" s="181"/>
      <c r="B1525" s="182"/>
      <c r="C1525" s="182"/>
      <c r="D1525" s="182"/>
      <c r="E1525" s="182"/>
      <c r="F1525" s="182"/>
      <c r="G1525" s="182"/>
      <c r="H1525" s="182"/>
      <c r="I1525" s="182"/>
      <c r="J1525" s="182"/>
      <c r="K1525" s="182"/>
      <c r="L1525" s="182"/>
      <c r="M1525" s="182"/>
      <c r="N1525" s="182"/>
      <c r="O1525" s="182"/>
      <c r="P1525" s="182"/>
      <c r="Q1525" s="182"/>
      <c r="R1525" s="182"/>
      <c r="S1525" s="182"/>
      <c r="T1525" s="182"/>
      <c r="U1525" s="183"/>
      <c r="V1525" s="168">
        <f t="shared" ref="V1525:Y1525" si="150">SUM(V1521:V1523)</f>
        <v>5670600745.5</v>
      </c>
      <c r="W1525" s="334">
        <f t="shared" ref="W1525" si="151">SUM(W1521:W1524)</f>
        <v>4800802500</v>
      </c>
      <c r="X1525" s="168">
        <f t="shared" si="150"/>
        <v>6063823467.5</v>
      </c>
      <c r="Y1525" s="168">
        <f t="shared" si="150"/>
        <v>6063823467.5</v>
      </c>
    </row>
    <row r="1527" spans="1:25">
      <c r="U1527" s="185" t="s">
        <v>1218</v>
      </c>
    </row>
    <row r="1528" spans="1:25">
      <c r="U1528" s="185" t="s">
        <v>2504</v>
      </c>
    </row>
    <row r="1529" spans="1:25">
      <c r="U1529" s="144" t="s">
        <v>2181</v>
      </c>
      <c r="V1529" s="360">
        <v>800802500</v>
      </c>
    </row>
    <row r="1530" spans="1:25">
      <c r="V1530" s="262">
        <f>SUM(V1529:V1529)</f>
        <v>800802500</v>
      </c>
    </row>
    <row r="1531" spans="1:25">
      <c r="V1531" s="262"/>
    </row>
    <row r="1532" spans="1:25">
      <c r="U1532" s="185" t="s">
        <v>2091</v>
      </c>
    </row>
    <row r="1533" spans="1:25">
      <c r="U1533" s="144" t="s">
        <v>2092</v>
      </c>
      <c r="V1533" s="145">
        <v>1050808401.61</v>
      </c>
    </row>
    <row r="1534" spans="1:25">
      <c r="U1534" s="144" t="s">
        <v>2181</v>
      </c>
      <c r="V1534" s="360">
        <f>949191598.39+1000000000</f>
        <v>1949191598.3899999</v>
      </c>
    </row>
    <row r="1535" spans="1:25" s="184" customFormat="1">
      <c r="A1535" s="204"/>
      <c r="U1535" s="185"/>
      <c r="V1535" s="262">
        <f>SUM(V1533:V1534)</f>
        <v>3000000000</v>
      </c>
      <c r="W1535" s="355"/>
      <c r="X1535" s="262"/>
      <c r="Y1535" s="262"/>
    </row>
    <row r="1538" spans="1:25" ht="26.25">
      <c r="A1538" s="187" t="s">
        <v>212</v>
      </c>
      <c r="B1538" s="187"/>
      <c r="C1538" s="187"/>
      <c r="D1538" s="187"/>
      <c r="E1538" s="187"/>
      <c r="F1538" s="187"/>
      <c r="G1538" s="187"/>
      <c r="H1538" s="187"/>
      <c r="I1538" s="187"/>
      <c r="J1538" s="187"/>
      <c r="K1538" s="187"/>
      <c r="L1538" s="187"/>
      <c r="M1538" s="187"/>
      <c r="N1538" s="187"/>
      <c r="O1538" s="187"/>
      <c r="P1538" s="187"/>
      <c r="Q1538" s="187"/>
      <c r="R1538" s="187"/>
      <c r="S1538" s="187"/>
      <c r="T1538" s="187"/>
      <c r="U1538" s="187"/>
      <c r="V1538" s="187"/>
      <c r="W1538" s="356"/>
      <c r="X1538" s="187"/>
      <c r="Y1538" s="187"/>
    </row>
    <row r="1539" spans="1:25">
      <c r="A1539" s="162"/>
      <c r="B1539" s="163"/>
      <c r="C1539" s="163"/>
      <c r="D1539" s="163"/>
      <c r="E1539" s="163"/>
      <c r="F1539" s="163"/>
      <c r="G1539" s="163"/>
      <c r="H1539" s="163"/>
      <c r="I1539" s="163"/>
      <c r="J1539" s="163"/>
      <c r="K1539" s="163"/>
      <c r="L1539" s="163"/>
      <c r="M1539" s="163"/>
      <c r="N1539" s="163"/>
      <c r="O1539" s="163"/>
      <c r="P1539" s="163"/>
      <c r="Q1539" s="163"/>
      <c r="R1539" s="163"/>
      <c r="S1539" s="163"/>
      <c r="T1539" s="163"/>
      <c r="U1539" s="178" t="s">
        <v>2013</v>
      </c>
      <c r="V1539" s="165"/>
      <c r="W1539" s="451">
        <v>500000000</v>
      </c>
      <c r="X1539" s="165">
        <v>250000000</v>
      </c>
      <c r="Y1539" s="165">
        <v>250000000</v>
      </c>
    </row>
    <row r="1540" spans="1:25">
      <c r="A1540" s="162"/>
      <c r="B1540" s="163"/>
      <c r="C1540" s="163"/>
      <c r="D1540" s="163"/>
      <c r="E1540" s="163"/>
      <c r="F1540" s="163"/>
      <c r="G1540" s="163"/>
      <c r="H1540" s="163"/>
      <c r="I1540" s="163"/>
      <c r="J1540" s="163"/>
      <c r="K1540" s="163"/>
      <c r="L1540" s="163"/>
      <c r="M1540" s="163"/>
      <c r="N1540" s="163"/>
      <c r="O1540" s="163"/>
      <c r="P1540" s="163"/>
      <c r="Q1540" s="163"/>
      <c r="R1540" s="163"/>
      <c r="S1540" s="163"/>
      <c r="T1540" s="163"/>
      <c r="U1540" s="178" t="s">
        <v>2014</v>
      </c>
      <c r="V1540" s="165"/>
      <c r="W1540" s="451">
        <v>6000000</v>
      </c>
      <c r="X1540" s="165">
        <v>6000000</v>
      </c>
      <c r="Y1540" s="165">
        <v>6000000</v>
      </c>
    </row>
    <row r="1541" spans="1:25">
      <c r="A1541" s="162"/>
      <c r="B1541" s="163"/>
      <c r="C1541" s="163"/>
      <c r="D1541" s="163"/>
      <c r="E1541" s="163"/>
      <c r="F1541" s="163"/>
      <c r="G1541" s="163"/>
      <c r="H1541" s="163"/>
      <c r="I1541" s="163"/>
      <c r="J1541" s="163"/>
      <c r="K1541" s="163"/>
      <c r="L1541" s="163"/>
      <c r="M1541" s="163"/>
      <c r="N1541" s="163"/>
      <c r="O1541" s="163"/>
      <c r="P1541" s="163"/>
      <c r="Q1541" s="163"/>
      <c r="R1541" s="163"/>
      <c r="S1541" s="163"/>
      <c r="T1541" s="163"/>
      <c r="U1541" s="178" t="s">
        <v>2015</v>
      </c>
      <c r="V1541" s="165"/>
      <c r="W1541" s="451">
        <v>0</v>
      </c>
      <c r="X1541" s="165"/>
      <c r="Y1541" s="165"/>
    </row>
    <row r="1542" spans="1:25">
      <c r="A1542" s="162"/>
      <c r="B1542" s="163"/>
      <c r="C1542" s="163"/>
      <c r="D1542" s="163"/>
      <c r="E1542" s="163"/>
      <c r="F1542" s="163"/>
      <c r="G1542" s="163"/>
      <c r="H1542" s="163"/>
      <c r="I1542" s="163"/>
      <c r="J1542" s="163"/>
      <c r="K1542" s="163"/>
      <c r="L1542" s="163"/>
      <c r="M1542" s="163"/>
      <c r="N1542" s="163"/>
      <c r="O1542" s="163"/>
      <c r="P1542" s="163"/>
      <c r="Q1542" s="163"/>
      <c r="R1542" s="163"/>
      <c r="S1542" s="207"/>
      <c r="T1542" s="163"/>
      <c r="U1542" s="178" t="s">
        <v>1644</v>
      </c>
      <c r="V1542" s="165">
        <v>50000000</v>
      </c>
      <c r="W1542" s="451">
        <v>0</v>
      </c>
      <c r="X1542" s="165"/>
      <c r="Y1542" s="165"/>
    </row>
    <row r="1543" spans="1:25">
      <c r="A1543" s="162"/>
      <c r="B1543" s="163"/>
      <c r="C1543" s="163"/>
      <c r="D1543" s="163"/>
      <c r="E1543" s="163"/>
      <c r="F1543" s="163"/>
      <c r="G1543" s="163"/>
      <c r="H1543" s="163"/>
      <c r="I1543" s="163"/>
      <c r="J1543" s="163"/>
      <c r="K1543" s="163"/>
      <c r="L1543" s="163"/>
      <c r="M1543" s="163"/>
      <c r="N1543" s="163"/>
      <c r="O1543" s="163"/>
      <c r="P1543" s="163"/>
      <c r="Q1543" s="163"/>
      <c r="R1543" s="163"/>
      <c r="S1543" s="207"/>
      <c r="T1543" s="163"/>
      <c r="U1543" s="178" t="s">
        <v>2016</v>
      </c>
      <c r="V1543" s="165">
        <v>117752306.28</v>
      </c>
      <c r="W1543" s="451">
        <v>0</v>
      </c>
      <c r="X1543" s="165"/>
      <c r="Y1543" s="165"/>
    </row>
    <row r="1544" spans="1:25">
      <c r="A1544" s="162"/>
      <c r="B1544" s="163"/>
      <c r="C1544" s="163"/>
      <c r="D1544" s="163"/>
      <c r="E1544" s="163"/>
      <c r="F1544" s="163"/>
      <c r="G1544" s="163"/>
      <c r="H1544" s="163"/>
      <c r="I1544" s="163"/>
      <c r="J1544" s="163"/>
      <c r="K1544" s="163"/>
      <c r="L1544" s="163"/>
      <c r="M1544" s="163"/>
      <c r="N1544" s="163"/>
      <c r="O1544" s="163"/>
      <c r="P1544" s="163"/>
      <c r="Q1544" s="163"/>
      <c r="R1544" s="163"/>
      <c r="S1544" s="207"/>
      <c r="T1544" s="163"/>
      <c r="U1544" s="178" t="s">
        <v>1645</v>
      </c>
      <c r="V1544" s="165">
        <v>150000000</v>
      </c>
      <c r="W1544" s="451">
        <v>0</v>
      </c>
      <c r="X1544" s="165"/>
      <c r="Y1544" s="165"/>
    </row>
    <row r="1545" spans="1:25" s="184" customFormat="1">
      <c r="A1545" s="181"/>
      <c r="B1545" s="182"/>
      <c r="C1545" s="182"/>
      <c r="D1545" s="182"/>
      <c r="E1545" s="182"/>
      <c r="F1545" s="182"/>
      <c r="G1545" s="182"/>
      <c r="H1545" s="182"/>
      <c r="I1545" s="182"/>
      <c r="J1545" s="182"/>
      <c r="K1545" s="182"/>
      <c r="L1545" s="182"/>
      <c r="M1545" s="182"/>
      <c r="N1545" s="182"/>
      <c r="O1545" s="182"/>
      <c r="P1545" s="182"/>
      <c r="Q1545" s="182"/>
      <c r="R1545" s="182"/>
      <c r="S1545" s="182"/>
      <c r="T1545" s="182"/>
      <c r="U1545" s="183"/>
      <c r="V1545" s="168">
        <f t="shared" ref="V1545:Y1545" si="152">SUM(V1539:V1544)</f>
        <v>317752306.27999997</v>
      </c>
      <c r="W1545" s="334">
        <f t="shared" si="152"/>
        <v>506000000</v>
      </c>
      <c r="X1545" s="168">
        <f>SUM(X1539:X1544)</f>
        <v>256000000</v>
      </c>
      <c r="Y1545" s="168">
        <f t="shared" si="152"/>
        <v>256000000</v>
      </c>
    </row>
    <row r="1548" spans="1:25" ht="26.25">
      <c r="A1548" s="187" t="s">
        <v>108</v>
      </c>
      <c r="B1548" s="187"/>
      <c r="C1548" s="187"/>
      <c r="D1548" s="187"/>
      <c r="E1548" s="187"/>
      <c r="F1548" s="187"/>
      <c r="G1548" s="187"/>
      <c r="H1548" s="187"/>
      <c r="I1548" s="187"/>
      <c r="J1548" s="187"/>
      <c r="K1548" s="187"/>
      <c r="L1548" s="187"/>
      <c r="M1548" s="187"/>
      <c r="N1548" s="187"/>
      <c r="O1548" s="187"/>
      <c r="P1548" s="187"/>
      <c r="Q1548" s="187"/>
      <c r="R1548" s="187"/>
      <c r="S1548" s="187"/>
      <c r="T1548" s="187"/>
      <c r="U1548" s="187"/>
      <c r="V1548" s="187"/>
      <c r="W1548" s="356"/>
      <c r="X1548" s="187"/>
      <c r="Y1548" s="187"/>
    </row>
    <row r="1549" spans="1:25">
      <c r="A1549" s="162"/>
      <c r="B1549" s="163"/>
      <c r="C1549" s="163"/>
      <c r="D1549" s="163"/>
      <c r="E1549" s="163"/>
      <c r="F1549" s="163"/>
      <c r="G1549" s="163"/>
      <c r="H1549" s="163"/>
      <c r="I1549" s="163"/>
      <c r="J1549" s="163"/>
      <c r="K1549" s="163"/>
      <c r="L1549" s="163"/>
      <c r="M1549" s="163"/>
      <c r="N1549" s="163"/>
      <c r="O1549" s="163"/>
      <c r="P1549" s="163"/>
      <c r="Q1549" s="163"/>
      <c r="R1549" s="163"/>
      <c r="S1549" s="163"/>
      <c r="T1549" s="163"/>
      <c r="U1549" s="178" t="s">
        <v>1646</v>
      </c>
      <c r="V1549" s="165">
        <v>1100000000</v>
      </c>
      <c r="W1549" s="451">
        <v>1013002200</v>
      </c>
      <c r="X1549" s="165">
        <v>100000000</v>
      </c>
      <c r="Y1549" s="165">
        <v>100000000</v>
      </c>
    </row>
    <row r="1550" spans="1:25" s="184" customFormat="1">
      <c r="A1550" s="181"/>
      <c r="B1550" s="182"/>
      <c r="C1550" s="182"/>
      <c r="D1550" s="182"/>
      <c r="E1550" s="182"/>
      <c r="F1550" s="182"/>
      <c r="G1550" s="182"/>
      <c r="H1550" s="182"/>
      <c r="I1550" s="182"/>
      <c r="J1550" s="182"/>
      <c r="K1550" s="182"/>
      <c r="L1550" s="182"/>
      <c r="M1550" s="182"/>
      <c r="N1550" s="182"/>
      <c r="O1550" s="182"/>
      <c r="P1550" s="182"/>
      <c r="Q1550" s="182"/>
      <c r="R1550" s="182"/>
      <c r="S1550" s="182"/>
      <c r="T1550" s="182"/>
      <c r="U1550" s="183"/>
      <c r="V1550" s="168">
        <f t="shared" ref="V1550:Y1550" si="153">SUM(V1549)</f>
        <v>1100000000</v>
      </c>
      <c r="W1550" s="334">
        <f t="shared" si="153"/>
        <v>1013002200</v>
      </c>
      <c r="X1550" s="168">
        <f t="shared" si="153"/>
        <v>100000000</v>
      </c>
      <c r="Y1550" s="168">
        <f t="shared" si="153"/>
        <v>100000000</v>
      </c>
    </row>
    <row r="1556" spans="1:25" ht="26.25">
      <c r="A1556" s="187" t="s">
        <v>107</v>
      </c>
      <c r="B1556" s="187"/>
      <c r="C1556" s="187"/>
      <c r="D1556" s="187"/>
      <c r="E1556" s="187"/>
      <c r="F1556" s="187"/>
      <c r="G1556" s="187"/>
      <c r="H1556" s="187"/>
      <c r="I1556" s="187"/>
      <c r="J1556" s="187"/>
      <c r="K1556" s="187"/>
      <c r="L1556" s="187"/>
      <c r="M1556" s="187"/>
      <c r="N1556" s="187"/>
      <c r="O1556" s="187"/>
      <c r="P1556" s="187"/>
      <c r="Q1556" s="187"/>
      <c r="R1556" s="187"/>
      <c r="S1556" s="187"/>
      <c r="T1556" s="187"/>
      <c r="U1556" s="187"/>
      <c r="V1556" s="187"/>
      <c r="W1556" s="356"/>
      <c r="X1556" s="187"/>
      <c r="Y1556" s="187"/>
    </row>
    <row r="1557" spans="1:25">
      <c r="A1557" s="162"/>
      <c r="B1557" s="180"/>
      <c r="C1557" s="179"/>
      <c r="D1557" s="179"/>
      <c r="E1557" s="179"/>
      <c r="F1557" s="179"/>
      <c r="G1557" s="179"/>
      <c r="H1557" s="179"/>
      <c r="I1557" s="179"/>
      <c r="J1557" s="179"/>
      <c r="K1557" s="179"/>
      <c r="L1557" s="179"/>
      <c r="M1557" s="179"/>
      <c r="N1557" s="179"/>
      <c r="O1557" s="179"/>
      <c r="P1557" s="179"/>
      <c r="Q1557" s="179"/>
      <c r="R1557" s="179"/>
      <c r="S1557" s="179"/>
      <c r="T1557" s="179"/>
      <c r="U1557" s="178" t="s">
        <v>2560</v>
      </c>
      <c r="V1557" s="165"/>
      <c r="W1557" s="451">
        <v>92550002</v>
      </c>
      <c r="X1557" s="165">
        <v>92550000</v>
      </c>
      <c r="Y1557" s="165">
        <v>101805000</v>
      </c>
    </row>
    <row r="1558" spans="1:25">
      <c r="A1558" s="162"/>
      <c r="B1558" s="179"/>
      <c r="C1558" s="179"/>
      <c r="D1558" s="179"/>
      <c r="E1558" s="179"/>
      <c r="F1558" s="179"/>
      <c r="G1558" s="179"/>
      <c r="H1558" s="179"/>
      <c r="I1558" s="179"/>
      <c r="J1558" s="179"/>
      <c r="K1558" s="179"/>
      <c r="L1558" s="179"/>
      <c r="M1558" s="179"/>
      <c r="N1558" s="179"/>
      <c r="O1558" s="179"/>
      <c r="P1558" s="179"/>
      <c r="Q1558" s="179"/>
      <c r="R1558" s="179"/>
      <c r="S1558" s="179"/>
      <c r="T1558" s="180"/>
      <c r="U1558" s="178" t="s">
        <v>2561</v>
      </c>
      <c r="V1558" s="165">
        <v>94000000</v>
      </c>
      <c r="W1558" s="451">
        <v>0</v>
      </c>
      <c r="X1558" s="165"/>
      <c r="Y1558" s="165"/>
    </row>
    <row r="1559" spans="1:25">
      <c r="A1559" s="162"/>
      <c r="B1559" s="179"/>
      <c r="C1559" s="179"/>
      <c r="D1559" s="179"/>
      <c r="E1559" s="179"/>
      <c r="F1559" s="179"/>
      <c r="G1559" s="179"/>
      <c r="H1559" s="179"/>
      <c r="I1559" s="179"/>
      <c r="J1559" s="179"/>
      <c r="K1559" s="179"/>
      <c r="L1559" s="179"/>
      <c r="M1559" s="179"/>
      <c r="N1559" s="179"/>
      <c r="O1559" s="179"/>
      <c r="P1559" s="179"/>
      <c r="Q1559" s="179"/>
      <c r="R1559" s="179"/>
      <c r="S1559" s="179"/>
      <c r="T1559" s="180"/>
      <c r="U1559" s="178" t="s">
        <v>2562</v>
      </c>
      <c r="V1559" s="165"/>
      <c r="W1559" s="451">
        <v>0</v>
      </c>
      <c r="X1559" s="165">
        <v>20000000</v>
      </c>
      <c r="Y1559" s="165">
        <v>22000000</v>
      </c>
    </row>
    <row r="1560" spans="1:25" ht="25.5">
      <c r="A1560" s="162"/>
      <c r="B1560" s="179"/>
      <c r="C1560" s="179"/>
      <c r="D1560" s="179"/>
      <c r="E1560" s="179"/>
      <c r="F1560" s="179"/>
      <c r="G1560" s="179"/>
      <c r="H1560" s="179"/>
      <c r="I1560" s="179"/>
      <c r="J1560" s="179"/>
      <c r="K1560" s="179"/>
      <c r="L1560" s="179"/>
      <c r="M1560" s="179"/>
      <c r="N1560" s="179"/>
      <c r="O1560" s="179"/>
      <c r="P1560" s="179"/>
      <c r="Q1560" s="179"/>
      <c r="R1560" s="179"/>
      <c r="S1560" s="179"/>
      <c r="T1560" s="180"/>
      <c r="U1560" s="178" t="s">
        <v>2563</v>
      </c>
      <c r="V1560" s="165"/>
      <c r="W1560" s="451">
        <v>0</v>
      </c>
      <c r="X1560" s="165">
        <v>2000000</v>
      </c>
      <c r="Y1560" s="165">
        <v>2200000</v>
      </c>
    </row>
    <row r="1561" spans="1:25">
      <c r="A1561" s="162"/>
      <c r="B1561" s="179"/>
      <c r="C1561" s="179"/>
      <c r="D1561" s="179"/>
      <c r="E1561" s="179"/>
      <c r="F1561" s="179"/>
      <c r="G1561" s="179"/>
      <c r="H1561" s="179"/>
      <c r="I1561" s="179"/>
      <c r="J1561" s="179"/>
      <c r="K1561" s="179"/>
      <c r="L1561" s="179"/>
      <c r="M1561" s="179"/>
      <c r="N1561" s="179"/>
      <c r="O1561" s="179"/>
      <c r="P1561" s="179"/>
      <c r="Q1561" s="179"/>
      <c r="R1561" s="179"/>
      <c r="S1561" s="179"/>
      <c r="T1561" s="180"/>
      <c r="U1561" s="178" t="s">
        <v>2564</v>
      </c>
      <c r="V1561" s="165"/>
      <c r="W1561" s="451">
        <v>0</v>
      </c>
      <c r="X1561" s="165">
        <v>3000000</v>
      </c>
      <c r="Y1561" s="165">
        <v>3300000</v>
      </c>
    </row>
    <row r="1562" spans="1:25">
      <c r="A1562" s="162"/>
      <c r="B1562" s="179"/>
      <c r="C1562" s="179"/>
      <c r="D1562" s="179"/>
      <c r="E1562" s="179"/>
      <c r="F1562" s="179"/>
      <c r="G1562" s="179"/>
      <c r="H1562" s="179"/>
      <c r="I1562" s="179"/>
      <c r="J1562" s="179"/>
      <c r="K1562" s="179"/>
      <c r="L1562" s="179"/>
      <c r="M1562" s="179"/>
      <c r="N1562" s="179"/>
      <c r="O1562" s="179"/>
      <c r="P1562" s="179"/>
      <c r="Q1562" s="179"/>
      <c r="R1562" s="179"/>
      <c r="S1562" s="179"/>
      <c r="T1562" s="180"/>
      <c r="U1562" s="178" t="s">
        <v>2565</v>
      </c>
      <c r="V1562" s="165"/>
      <c r="W1562" s="451">
        <v>0</v>
      </c>
      <c r="X1562" s="165">
        <v>85000000</v>
      </c>
      <c r="Y1562" s="165">
        <v>93500000</v>
      </c>
    </row>
    <row r="1563" spans="1:25">
      <c r="A1563" s="162"/>
      <c r="B1563" s="179"/>
      <c r="C1563" s="179"/>
      <c r="D1563" s="179"/>
      <c r="E1563" s="179"/>
      <c r="F1563" s="179"/>
      <c r="G1563" s="179"/>
      <c r="H1563" s="179"/>
      <c r="I1563" s="179"/>
      <c r="J1563" s="179"/>
      <c r="K1563" s="179"/>
      <c r="L1563" s="179"/>
      <c r="M1563" s="179"/>
      <c r="N1563" s="179"/>
      <c r="O1563" s="179"/>
      <c r="P1563" s="179"/>
      <c r="Q1563" s="179"/>
      <c r="R1563" s="179"/>
      <c r="S1563" s="179"/>
      <c r="T1563" s="180"/>
      <c r="U1563" s="178" t="s">
        <v>2566</v>
      </c>
      <c r="V1563" s="165"/>
      <c r="W1563" s="451">
        <v>0</v>
      </c>
      <c r="X1563" s="165">
        <v>7000000</v>
      </c>
      <c r="Y1563" s="165">
        <v>7700000</v>
      </c>
    </row>
    <row r="1564" spans="1:25" s="184" customFormat="1">
      <c r="A1564" s="181"/>
      <c r="B1564" s="182"/>
      <c r="C1564" s="182"/>
      <c r="D1564" s="182"/>
      <c r="E1564" s="182"/>
      <c r="F1564" s="182"/>
      <c r="G1564" s="182"/>
      <c r="H1564" s="182"/>
      <c r="I1564" s="182"/>
      <c r="J1564" s="182"/>
      <c r="K1564" s="182"/>
      <c r="L1564" s="182"/>
      <c r="M1564" s="182"/>
      <c r="N1564" s="182"/>
      <c r="O1564" s="182"/>
      <c r="P1564" s="182"/>
      <c r="Q1564" s="182"/>
      <c r="R1564" s="182"/>
      <c r="S1564" s="182"/>
      <c r="T1564" s="182"/>
      <c r="U1564" s="183"/>
      <c r="V1564" s="168">
        <f>SUM(V1557:V1563)</f>
        <v>94000000</v>
      </c>
      <c r="W1564" s="334">
        <f t="shared" ref="W1564:Y1564" si="154">SUM(W1557:W1563)</f>
        <v>92550002</v>
      </c>
      <c r="X1564" s="168">
        <f t="shared" si="154"/>
        <v>209550000</v>
      </c>
      <c r="Y1564" s="168">
        <f t="shared" si="154"/>
        <v>230505000</v>
      </c>
    </row>
    <row r="1569" spans="1:25" ht="26.25">
      <c r="A1569" s="187" t="s">
        <v>151</v>
      </c>
      <c r="B1569" s="187"/>
      <c r="C1569" s="187"/>
      <c r="D1569" s="187"/>
      <c r="E1569" s="187"/>
      <c r="F1569" s="187"/>
      <c r="G1569" s="187"/>
      <c r="H1569" s="187"/>
      <c r="I1569" s="187"/>
      <c r="J1569" s="187"/>
      <c r="K1569" s="187"/>
      <c r="L1569" s="187"/>
      <c r="M1569" s="187"/>
      <c r="N1569" s="187"/>
      <c r="O1569" s="187"/>
      <c r="P1569" s="187"/>
      <c r="Q1569" s="187"/>
      <c r="R1569" s="187"/>
      <c r="S1569" s="187"/>
      <c r="T1569" s="187"/>
      <c r="U1569" s="187"/>
      <c r="V1569" s="187"/>
      <c r="W1569" s="356"/>
      <c r="X1569" s="187"/>
      <c r="Y1569" s="187"/>
    </row>
    <row r="1570" spans="1:25">
      <c r="A1570" s="162"/>
      <c r="B1570" s="163"/>
      <c r="C1570" s="163"/>
      <c r="D1570" s="163"/>
      <c r="E1570" s="163"/>
      <c r="F1570" s="163"/>
      <c r="G1570" s="163"/>
      <c r="H1570" s="163"/>
      <c r="I1570" s="163"/>
      <c r="J1570" s="163"/>
      <c r="K1570" s="163"/>
      <c r="L1570" s="163"/>
      <c r="M1570" s="163"/>
      <c r="N1570" s="163"/>
      <c r="O1570" s="163"/>
      <c r="P1570" s="163"/>
      <c r="Q1570" s="163"/>
      <c r="R1570" s="163"/>
      <c r="S1570" s="163"/>
      <c r="T1570" s="163"/>
      <c r="U1570" s="178" t="s">
        <v>2017</v>
      </c>
      <c r="V1570" s="165"/>
      <c r="W1570" s="451">
        <v>0</v>
      </c>
      <c r="X1570" s="165">
        <v>0</v>
      </c>
      <c r="Y1570" s="165">
        <v>50000000</v>
      </c>
    </row>
    <row r="1571" spans="1:25">
      <c r="A1571" s="162"/>
      <c r="B1571" s="163"/>
      <c r="C1571" s="163"/>
      <c r="D1571" s="163"/>
      <c r="E1571" s="163"/>
      <c r="F1571" s="163"/>
      <c r="G1571" s="163"/>
      <c r="H1571" s="163"/>
      <c r="I1571" s="163"/>
      <c r="J1571" s="163"/>
      <c r="K1571" s="163"/>
      <c r="L1571" s="163"/>
      <c r="M1571" s="163"/>
      <c r="N1571" s="163"/>
      <c r="O1571" s="163"/>
      <c r="P1571" s="163"/>
      <c r="Q1571" s="163"/>
      <c r="R1571" s="163"/>
      <c r="S1571" s="163"/>
      <c r="T1571" s="163"/>
      <c r="U1571" s="178" t="s">
        <v>2018</v>
      </c>
      <c r="V1571" s="165"/>
      <c r="W1571" s="451">
        <v>5000000</v>
      </c>
      <c r="X1571" s="165">
        <v>0</v>
      </c>
      <c r="Y1571" s="165">
        <v>0</v>
      </c>
    </row>
    <row r="1572" spans="1:25">
      <c r="A1572" s="162"/>
      <c r="B1572" s="163"/>
      <c r="C1572" s="163"/>
      <c r="D1572" s="163"/>
      <c r="E1572" s="163"/>
      <c r="F1572" s="163"/>
      <c r="G1572" s="163"/>
      <c r="H1572" s="163"/>
      <c r="I1572" s="163"/>
      <c r="J1572" s="163"/>
      <c r="K1572" s="163"/>
      <c r="L1572" s="163"/>
      <c r="M1572" s="163"/>
      <c r="N1572" s="163"/>
      <c r="O1572" s="163"/>
      <c r="P1572" s="163"/>
      <c r="Q1572" s="163"/>
      <c r="R1572" s="163"/>
      <c r="S1572" s="163"/>
      <c r="T1572" s="163"/>
      <c r="U1572" s="178" t="s">
        <v>2567</v>
      </c>
      <c r="V1572" s="165"/>
      <c r="W1572" s="451">
        <v>14853000</v>
      </c>
      <c r="X1572" s="165">
        <v>0</v>
      </c>
      <c r="Y1572" s="165">
        <v>0</v>
      </c>
    </row>
    <row r="1573" spans="1:25">
      <c r="A1573" s="162"/>
      <c r="B1573" s="163"/>
      <c r="C1573" s="163"/>
      <c r="D1573" s="163"/>
      <c r="E1573" s="163"/>
      <c r="F1573" s="163"/>
      <c r="G1573" s="163"/>
      <c r="H1573" s="163"/>
      <c r="I1573" s="163"/>
      <c r="J1573" s="163"/>
      <c r="K1573" s="163"/>
      <c r="L1573" s="163"/>
      <c r="M1573" s="163"/>
      <c r="N1573" s="163"/>
      <c r="O1573" s="163"/>
      <c r="P1573" s="163"/>
      <c r="Q1573" s="163"/>
      <c r="R1573" s="163"/>
      <c r="S1573" s="163"/>
      <c r="T1573" s="163"/>
      <c r="U1573" s="178" t="s">
        <v>2019</v>
      </c>
      <c r="V1573" s="165"/>
      <c r="W1573" s="451">
        <v>1250000</v>
      </c>
      <c r="X1573" s="165">
        <v>0</v>
      </c>
      <c r="Y1573" s="165">
        <v>0</v>
      </c>
    </row>
    <row r="1574" spans="1:25" s="184" customFormat="1">
      <c r="A1574" s="181"/>
      <c r="B1574" s="182"/>
      <c r="C1574" s="182"/>
      <c r="D1574" s="182"/>
      <c r="E1574" s="182"/>
      <c r="F1574" s="182"/>
      <c r="G1574" s="182"/>
      <c r="H1574" s="182"/>
      <c r="I1574" s="182"/>
      <c r="J1574" s="182"/>
      <c r="K1574" s="182"/>
      <c r="L1574" s="182"/>
      <c r="M1574" s="182"/>
      <c r="N1574" s="182"/>
      <c r="O1574" s="182"/>
      <c r="P1574" s="182"/>
      <c r="Q1574" s="182"/>
      <c r="R1574" s="182"/>
      <c r="S1574" s="182"/>
      <c r="T1574" s="182"/>
      <c r="U1574" s="183"/>
      <c r="V1574" s="168"/>
      <c r="W1574" s="334">
        <f t="shared" ref="W1574:Y1574" si="155">SUM(W1570:W1573)</f>
        <v>21103000</v>
      </c>
      <c r="X1574" s="334">
        <f t="shared" si="155"/>
        <v>0</v>
      </c>
      <c r="Y1574" s="334">
        <f t="shared" si="155"/>
        <v>50000000</v>
      </c>
    </row>
    <row r="1579" spans="1:25" ht="26.25">
      <c r="A1579" s="187" t="s">
        <v>1647</v>
      </c>
      <c r="B1579" s="187"/>
      <c r="C1579" s="187"/>
      <c r="D1579" s="187"/>
      <c r="E1579" s="187"/>
      <c r="F1579" s="187"/>
      <c r="G1579" s="187"/>
      <c r="H1579" s="187"/>
      <c r="I1579" s="187"/>
      <c r="J1579" s="187"/>
      <c r="K1579" s="187"/>
      <c r="L1579" s="187"/>
      <c r="M1579" s="187"/>
      <c r="N1579" s="187"/>
      <c r="O1579" s="187"/>
      <c r="P1579" s="187"/>
      <c r="Q1579" s="187"/>
      <c r="R1579" s="187"/>
      <c r="S1579" s="187"/>
      <c r="T1579" s="187"/>
      <c r="U1579" s="187"/>
      <c r="V1579" s="187"/>
      <c r="W1579" s="356"/>
      <c r="X1579" s="187"/>
      <c r="Y1579" s="187"/>
    </row>
    <row r="1580" spans="1:25">
      <c r="A1580" s="181"/>
      <c r="B1580" s="163"/>
      <c r="C1580" s="163"/>
      <c r="D1580" s="163"/>
      <c r="E1580" s="163"/>
      <c r="F1580" s="163"/>
      <c r="G1580" s="163"/>
      <c r="H1580" s="163"/>
      <c r="I1580" s="163"/>
      <c r="J1580" s="163"/>
      <c r="K1580" s="163"/>
      <c r="L1580" s="163"/>
      <c r="M1580" s="163"/>
      <c r="N1580" s="163"/>
      <c r="O1580" s="163"/>
      <c r="P1580" s="163"/>
      <c r="Q1580" s="163"/>
      <c r="R1580" s="163"/>
      <c r="S1580" s="163"/>
      <c r="T1580" s="163"/>
      <c r="U1580" s="178" t="s">
        <v>2020</v>
      </c>
      <c r="V1580" s="165"/>
      <c r="W1580" s="451">
        <v>22806500</v>
      </c>
      <c r="X1580" s="165"/>
      <c r="Y1580" s="165"/>
    </row>
    <row r="1581" spans="1:25">
      <c r="A1581" s="181"/>
      <c r="B1581" s="163"/>
      <c r="C1581" s="163"/>
      <c r="D1581" s="163"/>
      <c r="E1581" s="163"/>
      <c r="F1581" s="163"/>
      <c r="G1581" s="163"/>
      <c r="H1581" s="163"/>
      <c r="I1581" s="163"/>
      <c r="J1581" s="163"/>
      <c r="K1581" s="163"/>
      <c r="L1581" s="163"/>
      <c r="M1581" s="163"/>
      <c r="N1581" s="163"/>
      <c r="O1581" s="163"/>
      <c r="P1581" s="163"/>
      <c r="Q1581" s="163"/>
      <c r="R1581" s="163"/>
      <c r="S1581" s="163"/>
      <c r="T1581" s="163"/>
      <c r="U1581" s="178" t="s">
        <v>2568</v>
      </c>
      <c r="V1581" s="165"/>
      <c r="W1581" s="451">
        <v>7102500</v>
      </c>
      <c r="X1581" s="165"/>
      <c r="Y1581" s="165"/>
    </row>
    <row r="1582" spans="1:25">
      <c r="A1582" s="181"/>
      <c r="B1582" s="163"/>
      <c r="C1582" s="163"/>
      <c r="D1582" s="163"/>
      <c r="E1582" s="163"/>
      <c r="F1582" s="163"/>
      <c r="G1582" s="163"/>
      <c r="H1582" s="163"/>
      <c r="I1582" s="163"/>
      <c r="J1582" s="163"/>
      <c r="K1582" s="163"/>
      <c r="L1582" s="163"/>
      <c r="M1582" s="163"/>
      <c r="N1582" s="163"/>
      <c r="O1582" s="163"/>
      <c r="P1582" s="163"/>
      <c r="Q1582" s="163"/>
      <c r="R1582" s="163"/>
      <c r="S1582" s="163"/>
      <c r="T1582" s="163"/>
      <c r="U1582" s="178" t="s">
        <v>2569</v>
      </c>
      <c r="V1582" s="165"/>
      <c r="W1582" s="451">
        <v>6002500</v>
      </c>
      <c r="X1582" s="165"/>
      <c r="Y1582" s="165"/>
    </row>
    <row r="1583" spans="1:25">
      <c r="A1583" s="181"/>
      <c r="B1583" s="163"/>
      <c r="C1583" s="163"/>
      <c r="D1583" s="163"/>
      <c r="E1583" s="163"/>
      <c r="F1583" s="163"/>
      <c r="G1583" s="163"/>
      <c r="H1583" s="163"/>
      <c r="I1583" s="163"/>
      <c r="J1583" s="163"/>
      <c r="K1583" s="163"/>
      <c r="L1583" s="163"/>
      <c r="M1583" s="163"/>
      <c r="N1583" s="163"/>
      <c r="O1583" s="163"/>
      <c r="P1583" s="163"/>
      <c r="Q1583" s="163"/>
      <c r="R1583" s="163"/>
      <c r="S1583" s="163"/>
      <c r="T1583" s="163"/>
      <c r="U1583" s="178" t="s">
        <v>2570</v>
      </c>
      <c r="V1583" s="165"/>
      <c r="W1583" s="451">
        <v>3602500</v>
      </c>
      <c r="X1583" s="165"/>
      <c r="Y1583" s="165"/>
    </row>
    <row r="1584" spans="1:25">
      <c r="A1584" s="181"/>
      <c r="B1584" s="163"/>
      <c r="C1584" s="163"/>
      <c r="D1584" s="163"/>
      <c r="E1584" s="163"/>
      <c r="F1584" s="163"/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3"/>
      <c r="U1584" s="178" t="s">
        <v>2571</v>
      </c>
      <c r="V1584" s="165"/>
      <c r="W1584" s="451">
        <v>602500</v>
      </c>
      <c r="X1584" s="165"/>
      <c r="Y1584" s="165"/>
    </row>
    <row r="1585" spans="1:25">
      <c r="A1585" s="181"/>
      <c r="B1585" s="163"/>
      <c r="C1585" s="163"/>
      <c r="D1585" s="163"/>
      <c r="E1585" s="163"/>
      <c r="F1585" s="163"/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3"/>
      <c r="U1585" s="178" t="s">
        <v>1648</v>
      </c>
      <c r="V1585" s="165"/>
      <c r="W1585" s="451">
        <v>15305500</v>
      </c>
      <c r="X1585" s="165"/>
      <c r="Y1585" s="165"/>
    </row>
    <row r="1586" spans="1:25">
      <c r="A1586" s="181"/>
      <c r="B1586" s="163"/>
      <c r="C1586" s="163"/>
      <c r="D1586" s="163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3"/>
      <c r="U1586" s="178" t="s">
        <v>2572</v>
      </c>
      <c r="V1586" s="165"/>
      <c r="W1586" s="451">
        <v>5000000</v>
      </c>
      <c r="X1586" s="165"/>
      <c r="Y1586" s="165"/>
    </row>
    <row r="1587" spans="1:25">
      <c r="A1587" s="181"/>
      <c r="B1587" s="163"/>
      <c r="C1587" s="163"/>
      <c r="D1587" s="163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3"/>
      <c r="U1587" s="178" t="s">
        <v>2573</v>
      </c>
      <c r="V1587" s="165"/>
      <c r="W1587" s="451">
        <v>0</v>
      </c>
      <c r="X1587" s="165"/>
      <c r="Y1587" s="165"/>
    </row>
    <row r="1588" spans="1:25">
      <c r="A1588" s="181"/>
      <c r="B1588" s="163"/>
      <c r="C1588" s="163"/>
      <c r="D1588" s="163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3"/>
      <c r="U1588" s="178" t="s">
        <v>2574</v>
      </c>
      <c r="V1588" s="165"/>
      <c r="W1588" s="451">
        <v>702500</v>
      </c>
      <c r="X1588" s="165"/>
      <c r="Y1588" s="165"/>
    </row>
    <row r="1589" spans="1:25">
      <c r="A1589" s="181"/>
      <c r="B1589" s="163"/>
      <c r="C1589" s="163"/>
      <c r="D1589" s="163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3"/>
      <c r="U1589" s="178" t="s">
        <v>2021</v>
      </c>
      <c r="V1589" s="165"/>
      <c r="W1589" s="451">
        <v>17502500</v>
      </c>
      <c r="X1589" s="165"/>
      <c r="Y1589" s="165"/>
    </row>
    <row r="1590" spans="1:25" ht="25.5">
      <c r="A1590" s="181"/>
      <c r="B1590" s="163"/>
      <c r="C1590" s="163"/>
      <c r="D1590" s="163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3"/>
      <c r="U1590" s="178" t="s">
        <v>2575</v>
      </c>
      <c r="V1590" s="165"/>
      <c r="W1590" s="451">
        <v>300000000</v>
      </c>
      <c r="X1590" s="165">
        <v>100000000</v>
      </c>
      <c r="Y1590" s="165">
        <v>50000000</v>
      </c>
    </row>
    <row r="1591" spans="1:25" ht="25.5">
      <c r="A1591" s="181"/>
      <c r="B1591" s="163"/>
      <c r="C1591" s="163"/>
      <c r="D1591" s="163"/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163"/>
      <c r="T1591" s="163"/>
      <c r="U1591" s="178" t="s">
        <v>2577</v>
      </c>
      <c r="V1591" s="165"/>
      <c r="W1591" s="451">
        <v>201522500</v>
      </c>
      <c r="X1591" s="165">
        <v>250000000</v>
      </c>
      <c r="Y1591" s="165">
        <v>150000000</v>
      </c>
    </row>
    <row r="1592" spans="1:25" ht="25.5">
      <c r="A1592" s="181"/>
      <c r="B1592" s="163"/>
      <c r="C1592" s="163"/>
      <c r="D1592" s="163"/>
      <c r="E1592" s="163"/>
      <c r="F1592" s="163"/>
      <c r="G1592" s="163"/>
      <c r="H1592" s="163"/>
      <c r="I1592" s="163"/>
      <c r="J1592" s="163"/>
      <c r="K1592" s="163"/>
      <c r="L1592" s="163"/>
      <c r="M1592" s="163"/>
      <c r="N1592" s="163"/>
      <c r="O1592" s="163"/>
      <c r="P1592" s="163"/>
      <c r="Q1592" s="163"/>
      <c r="R1592" s="163"/>
      <c r="S1592" s="163"/>
      <c r="T1592" s="163"/>
      <c r="U1592" s="178" t="s">
        <v>2576</v>
      </c>
      <c r="V1592" s="165"/>
      <c r="W1592" s="451">
        <v>50000000</v>
      </c>
      <c r="X1592" s="165">
        <v>60000000</v>
      </c>
      <c r="Y1592" s="165">
        <v>50000000</v>
      </c>
    </row>
    <row r="1593" spans="1:25">
      <c r="A1593" s="181"/>
      <c r="B1593" s="163"/>
      <c r="C1593" s="163"/>
      <c r="D1593" s="163"/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163"/>
      <c r="T1593" s="163"/>
      <c r="U1593" s="178" t="s">
        <v>2022</v>
      </c>
      <c r="V1593" s="165"/>
      <c r="W1593" s="451">
        <v>3502500</v>
      </c>
      <c r="X1593" s="165"/>
      <c r="Y1593" s="165"/>
    </row>
    <row r="1594" spans="1:25">
      <c r="A1594" s="181"/>
      <c r="B1594" s="163"/>
      <c r="C1594" s="163"/>
      <c r="D1594" s="163"/>
      <c r="E1594" s="163"/>
      <c r="F1594" s="163"/>
      <c r="G1594" s="163"/>
      <c r="H1594" s="163"/>
      <c r="I1594" s="163"/>
      <c r="J1594" s="163"/>
      <c r="K1594" s="163"/>
      <c r="L1594" s="163"/>
      <c r="M1594" s="163"/>
      <c r="N1594" s="163"/>
      <c r="O1594" s="163"/>
      <c r="P1594" s="163"/>
      <c r="Q1594" s="163"/>
      <c r="R1594" s="163"/>
      <c r="S1594" s="163"/>
      <c r="T1594" s="163"/>
      <c r="U1594" s="178" t="s">
        <v>2578</v>
      </c>
      <c r="V1594" s="165"/>
      <c r="W1594" s="451">
        <v>802500</v>
      </c>
      <c r="X1594" s="165"/>
      <c r="Y1594" s="165"/>
    </row>
    <row r="1595" spans="1:25" ht="25.5">
      <c r="A1595" s="181"/>
      <c r="B1595" s="163"/>
      <c r="C1595" s="163"/>
      <c r="D1595" s="163"/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163"/>
      <c r="P1595" s="163"/>
      <c r="Q1595" s="163"/>
      <c r="R1595" s="163"/>
      <c r="S1595" s="163"/>
      <c r="T1595" s="163"/>
      <c r="U1595" s="178" t="s">
        <v>2023</v>
      </c>
      <c r="V1595" s="165"/>
      <c r="W1595" s="451">
        <v>601842000</v>
      </c>
      <c r="X1595" s="165">
        <v>1400000000</v>
      </c>
      <c r="Y1595" s="165">
        <v>800000000</v>
      </c>
    </row>
    <row r="1596" spans="1:25" ht="25.5">
      <c r="A1596" s="181"/>
      <c r="B1596" s="163"/>
      <c r="C1596" s="163"/>
      <c r="D1596" s="163"/>
      <c r="E1596" s="163"/>
      <c r="F1596" s="163"/>
      <c r="G1596" s="163"/>
      <c r="H1596" s="163"/>
      <c r="I1596" s="163"/>
      <c r="J1596" s="163"/>
      <c r="K1596" s="163"/>
      <c r="L1596" s="163"/>
      <c r="M1596" s="163"/>
      <c r="N1596" s="163"/>
      <c r="O1596" s="163"/>
      <c r="P1596" s="163"/>
      <c r="Q1596" s="163"/>
      <c r="R1596" s="163"/>
      <c r="S1596" s="163"/>
      <c r="T1596" s="163"/>
      <c r="U1596" s="178" t="s">
        <v>2579</v>
      </c>
      <c r="V1596" s="165"/>
      <c r="W1596" s="451">
        <v>30000000</v>
      </c>
      <c r="X1596" s="165"/>
      <c r="Y1596" s="165"/>
    </row>
    <row r="1597" spans="1:25">
      <c r="A1597" s="181"/>
      <c r="B1597" s="163"/>
      <c r="C1597" s="163"/>
      <c r="D1597" s="163"/>
      <c r="E1597" s="163"/>
      <c r="F1597" s="163"/>
      <c r="G1597" s="163"/>
      <c r="H1597" s="163"/>
      <c r="I1597" s="163"/>
      <c r="J1597" s="163"/>
      <c r="K1597" s="163"/>
      <c r="L1597" s="163"/>
      <c r="M1597" s="163"/>
      <c r="N1597" s="163"/>
      <c r="O1597" s="163"/>
      <c r="P1597" s="163"/>
      <c r="Q1597" s="163"/>
      <c r="R1597" s="163"/>
      <c r="S1597" s="163"/>
      <c r="T1597" s="163"/>
      <c r="U1597" s="178" t="s">
        <v>2024</v>
      </c>
      <c r="V1597" s="165"/>
      <c r="W1597" s="451">
        <v>60000000</v>
      </c>
      <c r="X1597" s="165">
        <v>80000000</v>
      </c>
      <c r="Y1597" s="165">
        <v>50000000</v>
      </c>
    </row>
    <row r="1598" spans="1:25" ht="25.5">
      <c r="A1598" s="181"/>
      <c r="B1598" s="163"/>
      <c r="C1598" s="163"/>
      <c r="D1598" s="163"/>
      <c r="E1598" s="163"/>
      <c r="F1598" s="163"/>
      <c r="G1598" s="163"/>
      <c r="H1598" s="163"/>
      <c r="I1598" s="163"/>
      <c r="J1598" s="163"/>
      <c r="K1598" s="163"/>
      <c r="L1598" s="163"/>
      <c r="M1598" s="163"/>
      <c r="N1598" s="163"/>
      <c r="O1598" s="163"/>
      <c r="P1598" s="163"/>
      <c r="Q1598" s="163"/>
      <c r="R1598" s="163"/>
      <c r="S1598" s="163"/>
      <c r="T1598" s="163"/>
      <c r="U1598" s="178" t="s">
        <v>2580</v>
      </c>
      <c r="V1598" s="165"/>
      <c r="W1598" s="451">
        <v>0</v>
      </c>
      <c r="X1598" s="165"/>
      <c r="Y1598" s="165"/>
    </row>
    <row r="1599" spans="1:25" ht="25.5">
      <c r="A1599" s="181"/>
      <c r="B1599" s="163"/>
      <c r="C1599" s="163"/>
      <c r="D1599" s="163"/>
      <c r="E1599" s="163"/>
      <c r="F1599" s="163"/>
      <c r="G1599" s="163"/>
      <c r="H1599" s="163"/>
      <c r="I1599" s="163"/>
      <c r="J1599" s="163"/>
      <c r="K1599" s="163"/>
      <c r="L1599" s="163"/>
      <c r="M1599" s="163"/>
      <c r="N1599" s="163"/>
      <c r="O1599" s="163"/>
      <c r="P1599" s="163"/>
      <c r="Q1599" s="163"/>
      <c r="R1599" s="163"/>
      <c r="S1599" s="163"/>
      <c r="T1599" s="163"/>
      <c r="U1599" s="178" t="s">
        <v>2581</v>
      </c>
      <c r="V1599" s="165"/>
      <c r="W1599" s="451">
        <v>0</v>
      </c>
      <c r="X1599" s="165"/>
      <c r="Y1599" s="165"/>
    </row>
    <row r="1600" spans="1:25" ht="25.5">
      <c r="A1600" s="181"/>
      <c r="B1600" s="163"/>
      <c r="C1600" s="163"/>
      <c r="D1600" s="163"/>
      <c r="E1600" s="163"/>
      <c r="F1600" s="163"/>
      <c r="G1600" s="163"/>
      <c r="H1600" s="163"/>
      <c r="I1600" s="163"/>
      <c r="J1600" s="163"/>
      <c r="K1600" s="163"/>
      <c r="L1600" s="163"/>
      <c r="M1600" s="163"/>
      <c r="N1600" s="163"/>
      <c r="O1600" s="163"/>
      <c r="P1600" s="163"/>
      <c r="Q1600" s="163"/>
      <c r="R1600" s="163"/>
      <c r="S1600" s="163"/>
      <c r="T1600" s="163"/>
      <c r="U1600" s="178" t="s">
        <v>2025</v>
      </c>
      <c r="V1600" s="165"/>
      <c r="W1600" s="451">
        <v>0</v>
      </c>
      <c r="X1600" s="165"/>
      <c r="Y1600" s="165"/>
    </row>
    <row r="1601" spans="1:25">
      <c r="A1601" s="181"/>
      <c r="B1601" s="163"/>
      <c r="C1601" s="163"/>
      <c r="D1601" s="163"/>
      <c r="E1601" s="163"/>
      <c r="F1601" s="163"/>
      <c r="G1601" s="163"/>
      <c r="H1601" s="163"/>
      <c r="I1601" s="163"/>
      <c r="J1601" s="163"/>
      <c r="K1601" s="163"/>
      <c r="L1601" s="163"/>
      <c r="M1601" s="163"/>
      <c r="N1601" s="163"/>
      <c r="O1601" s="163"/>
      <c r="P1601" s="163"/>
      <c r="Q1601" s="163"/>
      <c r="R1601" s="163"/>
      <c r="S1601" s="163"/>
      <c r="T1601" s="163"/>
      <c r="U1601" s="178" t="s">
        <v>2582</v>
      </c>
      <c r="V1601" s="165"/>
      <c r="W1601" s="451">
        <v>20012500</v>
      </c>
      <c r="X1601" s="165">
        <v>25000000</v>
      </c>
      <c r="Y1601" s="165">
        <v>30000000</v>
      </c>
    </row>
    <row r="1602" spans="1:25">
      <c r="A1602" s="181"/>
      <c r="B1602" s="163"/>
      <c r="C1602" s="163"/>
      <c r="D1602" s="163"/>
      <c r="E1602" s="163"/>
      <c r="F1602" s="163"/>
      <c r="G1602" s="163"/>
      <c r="H1602" s="163"/>
      <c r="I1602" s="163"/>
      <c r="J1602" s="163"/>
      <c r="K1602" s="163"/>
      <c r="L1602" s="163"/>
      <c r="M1602" s="163"/>
      <c r="N1602" s="163"/>
      <c r="O1602" s="163"/>
      <c r="P1602" s="163"/>
      <c r="Q1602" s="163"/>
      <c r="R1602" s="163"/>
      <c r="S1602" s="163"/>
      <c r="T1602" s="163"/>
      <c r="U1602" s="178" t="s">
        <v>2583</v>
      </c>
      <c r="V1602" s="165"/>
      <c r="W1602" s="451">
        <v>0</v>
      </c>
      <c r="X1602" s="165"/>
      <c r="Y1602" s="165"/>
    </row>
    <row r="1603" spans="1:25">
      <c r="A1603" s="181"/>
      <c r="B1603" s="163"/>
      <c r="C1603" s="163"/>
      <c r="D1603" s="163"/>
      <c r="E1603" s="163"/>
      <c r="F1603" s="163"/>
      <c r="G1603" s="163"/>
      <c r="H1603" s="163"/>
      <c r="I1603" s="163"/>
      <c r="J1603" s="163"/>
      <c r="K1603" s="163"/>
      <c r="L1603" s="163"/>
      <c r="M1603" s="163"/>
      <c r="N1603" s="163"/>
      <c r="O1603" s="163"/>
      <c r="P1603" s="163"/>
      <c r="Q1603" s="163"/>
      <c r="R1603" s="163"/>
      <c r="S1603" s="163"/>
      <c r="T1603" s="163"/>
      <c r="U1603" s="178" t="s">
        <v>2026</v>
      </c>
      <c r="V1603" s="165"/>
      <c r="W1603" s="451">
        <v>0</v>
      </c>
      <c r="X1603" s="165"/>
      <c r="Y1603" s="165"/>
    </row>
    <row r="1604" spans="1:25">
      <c r="A1604" s="181"/>
      <c r="B1604" s="163"/>
      <c r="C1604" s="163"/>
      <c r="D1604" s="163"/>
      <c r="E1604" s="163"/>
      <c r="F1604" s="163"/>
      <c r="G1604" s="163"/>
      <c r="H1604" s="163"/>
      <c r="I1604" s="163"/>
      <c r="J1604" s="163"/>
      <c r="K1604" s="163"/>
      <c r="L1604" s="163"/>
      <c r="M1604" s="163"/>
      <c r="N1604" s="163"/>
      <c r="O1604" s="163"/>
      <c r="P1604" s="163"/>
      <c r="Q1604" s="163"/>
      <c r="R1604" s="163"/>
      <c r="S1604" s="163"/>
      <c r="T1604" s="163"/>
      <c r="U1604" s="178" t="s">
        <v>2027</v>
      </c>
      <c r="V1604" s="165"/>
      <c r="W1604" s="451">
        <v>0</v>
      </c>
      <c r="X1604" s="165"/>
      <c r="Y1604" s="165"/>
    </row>
    <row r="1605" spans="1:25">
      <c r="A1605" s="181"/>
      <c r="B1605" s="163"/>
      <c r="C1605" s="163"/>
      <c r="D1605" s="163"/>
      <c r="E1605" s="163"/>
      <c r="F1605" s="163"/>
      <c r="G1605" s="163"/>
      <c r="H1605" s="163"/>
      <c r="I1605" s="163"/>
      <c r="J1605" s="163"/>
      <c r="K1605" s="163"/>
      <c r="L1605" s="163"/>
      <c r="M1605" s="163"/>
      <c r="N1605" s="163"/>
      <c r="O1605" s="163"/>
      <c r="P1605" s="163"/>
      <c r="Q1605" s="163"/>
      <c r="R1605" s="163"/>
      <c r="S1605" s="163"/>
      <c r="T1605" s="163"/>
      <c r="U1605" s="178" t="s">
        <v>2584</v>
      </c>
      <c r="V1605" s="165"/>
      <c r="W1605" s="451">
        <v>0</v>
      </c>
      <c r="X1605" s="165"/>
      <c r="Y1605" s="165"/>
    </row>
    <row r="1606" spans="1:25">
      <c r="A1606" s="181"/>
      <c r="B1606" s="163"/>
      <c r="C1606" s="163"/>
      <c r="D1606" s="163"/>
      <c r="E1606" s="163"/>
      <c r="F1606" s="163"/>
      <c r="G1606" s="163"/>
      <c r="H1606" s="163"/>
      <c r="I1606" s="163"/>
      <c r="J1606" s="163"/>
      <c r="K1606" s="163"/>
      <c r="L1606" s="163"/>
      <c r="M1606" s="163"/>
      <c r="N1606" s="163"/>
      <c r="O1606" s="163"/>
      <c r="P1606" s="163"/>
      <c r="Q1606" s="163"/>
      <c r="R1606" s="163"/>
      <c r="S1606" s="163"/>
      <c r="T1606" s="163"/>
      <c r="U1606" s="178" t="s">
        <v>2028</v>
      </c>
      <c r="V1606" s="165"/>
      <c r="W1606" s="451">
        <v>0</v>
      </c>
      <c r="X1606" s="165"/>
      <c r="Y1606" s="165"/>
    </row>
    <row r="1607" spans="1:25">
      <c r="A1607" s="181"/>
      <c r="B1607" s="163"/>
      <c r="C1607" s="163"/>
      <c r="D1607" s="163"/>
      <c r="E1607" s="163"/>
      <c r="F1607" s="163"/>
      <c r="G1607" s="163"/>
      <c r="H1607" s="163"/>
      <c r="I1607" s="163"/>
      <c r="J1607" s="163"/>
      <c r="K1607" s="163"/>
      <c r="L1607" s="163"/>
      <c r="M1607" s="163"/>
      <c r="N1607" s="163"/>
      <c r="O1607" s="163"/>
      <c r="P1607" s="163"/>
      <c r="Q1607" s="163"/>
      <c r="R1607" s="163"/>
      <c r="S1607" s="163"/>
      <c r="T1607" s="163"/>
      <c r="U1607" s="178" t="s">
        <v>2585</v>
      </c>
      <c r="V1607" s="165"/>
      <c r="W1607" s="451">
        <v>3002500</v>
      </c>
      <c r="X1607" s="165"/>
      <c r="Y1607" s="165"/>
    </row>
    <row r="1608" spans="1:25">
      <c r="A1608" s="181"/>
      <c r="B1608" s="163"/>
      <c r="C1608" s="163"/>
      <c r="D1608" s="163"/>
      <c r="E1608" s="163"/>
      <c r="F1608" s="163"/>
      <c r="G1608" s="163"/>
      <c r="H1608" s="163"/>
      <c r="I1608" s="163"/>
      <c r="J1608" s="163"/>
      <c r="K1608" s="163"/>
      <c r="L1608" s="163"/>
      <c r="M1608" s="163"/>
      <c r="N1608" s="163"/>
      <c r="O1608" s="163"/>
      <c r="P1608" s="163"/>
      <c r="Q1608" s="163"/>
      <c r="R1608" s="163"/>
      <c r="S1608" s="163"/>
      <c r="T1608" s="163"/>
      <c r="U1608" s="178" t="s">
        <v>2586</v>
      </c>
      <c r="V1608" s="165"/>
      <c r="W1608" s="451">
        <v>0</v>
      </c>
      <c r="X1608" s="165"/>
      <c r="Y1608" s="165"/>
    </row>
    <row r="1609" spans="1:25" ht="25.5">
      <c r="A1609" s="181"/>
      <c r="B1609" s="163"/>
      <c r="C1609" s="163"/>
      <c r="D1609" s="163"/>
      <c r="E1609" s="163"/>
      <c r="F1609" s="163"/>
      <c r="G1609" s="163"/>
      <c r="H1609" s="163"/>
      <c r="I1609" s="163"/>
      <c r="J1609" s="163"/>
      <c r="K1609" s="163"/>
      <c r="L1609" s="163"/>
      <c r="M1609" s="163"/>
      <c r="N1609" s="163"/>
      <c r="O1609" s="163"/>
      <c r="P1609" s="163"/>
      <c r="Q1609" s="163"/>
      <c r="R1609" s="163"/>
      <c r="S1609" s="163"/>
      <c r="T1609" s="163"/>
      <c r="U1609" s="178" t="s">
        <v>2587</v>
      </c>
      <c r="V1609" s="165"/>
      <c r="W1609" s="451">
        <v>0</v>
      </c>
      <c r="X1609" s="165"/>
      <c r="Y1609" s="165"/>
    </row>
    <row r="1610" spans="1:25" ht="25.5">
      <c r="A1610" s="181"/>
      <c r="B1610" s="163"/>
      <c r="C1610" s="163"/>
      <c r="D1610" s="163"/>
      <c r="E1610" s="163"/>
      <c r="F1610" s="163"/>
      <c r="G1610" s="163"/>
      <c r="H1610" s="163"/>
      <c r="I1610" s="163"/>
      <c r="J1610" s="163"/>
      <c r="K1610" s="163"/>
      <c r="L1610" s="163"/>
      <c r="M1610" s="163"/>
      <c r="N1610" s="163"/>
      <c r="O1610" s="163"/>
      <c r="P1610" s="163"/>
      <c r="Q1610" s="163"/>
      <c r="R1610" s="163"/>
      <c r="S1610" s="163"/>
      <c r="T1610" s="163"/>
      <c r="U1610" s="178" t="s">
        <v>2029</v>
      </c>
      <c r="V1610" s="165"/>
      <c r="W1610" s="451">
        <v>0</v>
      </c>
      <c r="X1610" s="165"/>
      <c r="Y1610" s="165"/>
    </row>
    <row r="1611" spans="1:25" s="184" customFormat="1">
      <c r="A1611" s="181"/>
      <c r="B1611" s="182"/>
      <c r="C1611" s="182"/>
      <c r="D1611" s="182"/>
      <c r="E1611" s="182"/>
      <c r="F1611" s="182"/>
      <c r="G1611" s="182"/>
      <c r="H1611" s="182"/>
      <c r="I1611" s="182"/>
      <c r="J1611" s="182"/>
      <c r="K1611" s="182"/>
      <c r="L1611" s="182"/>
      <c r="M1611" s="182"/>
      <c r="N1611" s="182"/>
      <c r="O1611" s="182"/>
      <c r="P1611" s="182"/>
      <c r="Q1611" s="182"/>
      <c r="R1611" s="182"/>
      <c r="S1611" s="182"/>
      <c r="T1611" s="182"/>
      <c r="U1611" s="183"/>
      <c r="V1611" s="168"/>
      <c r="W1611" s="334">
        <f t="shared" ref="W1611:Y1611" si="156">SUM(W1580:W1610)</f>
        <v>1349311500</v>
      </c>
      <c r="X1611" s="168">
        <f t="shared" si="156"/>
        <v>1915000000</v>
      </c>
      <c r="Y1611" s="168">
        <f t="shared" si="156"/>
        <v>1130000000</v>
      </c>
    </row>
    <row r="1612" spans="1:25">
      <c r="A1612" s="204"/>
    </row>
    <row r="1613" spans="1:25">
      <c r="A1613" s="204"/>
      <c r="U1613" s="185" t="s">
        <v>1218</v>
      </c>
    </row>
    <row r="1614" spans="1:25">
      <c r="A1614" s="204"/>
      <c r="U1614" s="144" t="s">
        <v>2092</v>
      </c>
      <c r="V1614" s="145">
        <v>329311499</v>
      </c>
    </row>
    <row r="1615" spans="1:25">
      <c r="A1615" s="204"/>
      <c r="U1615" s="144" t="s">
        <v>2181</v>
      </c>
      <c r="V1615" s="360">
        <v>1020000001</v>
      </c>
    </row>
    <row r="1616" spans="1:25">
      <c r="A1616" s="204"/>
      <c r="U1616" s="190"/>
      <c r="V1616" s="262">
        <f>SUM(V1614:V1615)</f>
        <v>1349311500</v>
      </c>
    </row>
    <row r="1617" spans="1:25">
      <c r="A1617" s="204"/>
    </row>
    <row r="1618" spans="1:25" ht="26.25">
      <c r="A1618" s="187" t="s">
        <v>2177</v>
      </c>
      <c r="B1618" s="187"/>
      <c r="C1618" s="187"/>
      <c r="D1618" s="187"/>
      <c r="E1618" s="187"/>
      <c r="F1618" s="187"/>
      <c r="G1618" s="187"/>
      <c r="H1618" s="187"/>
      <c r="I1618" s="187"/>
      <c r="J1618" s="187"/>
      <c r="K1618" s="187"/>
      <c r="L1618" s="187"/>
      <c r="M1618" s="187"/>
      <c r="N1618" s="187"/>
      <c r="O1618" s="187"/>
      <c r="P1618" s="187"/>
      <c r="Q1618" s="187"/>
      <c r="R1618" s="187"/>
      <c r="S1618" s="187"/>
      <c r="T1618" s="187"/>
      <c r="U1618" s="187"/>
      <c r="V1618" s="187"/>
      <c r="W1618" s="356"/>
      <c r="X1618" s="187"/>
      <c r="Y1618" s="187"/>
    </row>
    <row r="1619" spans="1:25" ht="25.5">
      <c r="A1619" s="181"/>
      <c r="B1619" s="163"/>
      <c r="C1619" s="163"/>
      <c r="D1619" s="163"/>
      <c r="E1619" s="163"/>
      <c r="F1619" s="163"/>
      <c r="G1619" s="163"/>
      <c r="H1619" s="163"/>
      <c r="I1619" s="163"/>
      <c r="J1619" s="163"/>
      <c r="K1619" s="163"/>
      <c r="L1619" s="163"/>
      <c r="M1619" s="163"/>
      <c r="N1619" s="163"/>
      <c r="O1619" s="163"/>
      <c r="P1619" s="163"/>
      <c r="Q1619" s="163"/>
      <c r="R1619" s="163"/>
      <c r="S1619" s="163"/>
      <c r="T1619" s="163"/>
      <c r="U1619" s="178" t="s">
        <v>1649</v>
      </c>
      <c r="V1619" s="165"/>
      <c r="W1619" s="451">
        <v>146430000</v>
      </c>
      <c r="X1619" s="165">
        <v>136065000</v>
      </c>
      <c r="Y1619" s="165">
        <v>131865000</v>
      </c>
    </row>
    <row r="1620" spans="1:25">
      <c r="A1620" s="181"/>
      <c r="B1620" s="163"/>
      <c r="C1620" s="163"/>
      <c r="D1620" s="163"/>
      <c r="E1620" s="163"/>
      <c r="F1620" s="163"/>
      <c r="G1620" s="163"/>
      <c r="H1620" s="163"/>
      <c r="I1620" s="163"/>
      <c r="J1620" s="163"/>
      <c r="K1620" s="163"/>
      <c r="L1620" s="163"/>
      <c r="M1620" s="163"/>
      <c r="N1620" s="163"/>
      <c r="O1620" s="163"/>
      <c r="P1620" s="163"/>
      <c r="Q1620" s="163"/>
      <c r="R1620" s="163"/>
      <c r="S1620" s="163"/>
      <c r="T1620" s="163"/>
      <c r="U1620" s="178" t="s">
        <v>1650</v>
      </c>
      <c r="V1620" s="165"/>
      <c r="W1620" s="451">
        <v>30000002</v>
      </c>
      <c r="X1620" s="165">
        <v>129120000</v>
      </c>
      <c r="Y1620" s="165">
        <v>117936000</v>
      </c>
    </row>
    <row r="1621" spans="1:25">
      <c r="A1621" s="181"/>
      <c r="B1621" s="163"/>
      <c r="C1621" s="163"/>
      <c r="D1621" s="163"/>
      <c r="E1621" s="163"/>
      <c r="F1621" s="163"/>
      <c r="G1621" s="163"/>
      <c r="H1621" s="163"/>
      <c r="I1621" s="163"/>
      <c r="J1621" s="163"/>
      <c r="K1621" s="163"/>
      <c r="L1621" s="163"/>
      <c r="M1621" s="163"/>
      <c r="N1621" s="163"/>
      <c r="O1621" s="163"/>
      <c r="P1621" s="163"/>
      <c r="Q1621" s="163"/>
      <c r="R1621" s="163"/>
      <c r="S1621" s="163"/>
      <c r="T1621" s="163"/>
      <c r="U1621" s="178" t="s">
        <v>1651</v>
      </c>
      <c r="V1621" s="165"/>
      <c r="W1621" s="451">
        <v>5968800</v>
      </c>
      <c r="X1621" s="165">
        <v>4904400</v>
      </c>
      <c r="Y1621" s="165">
        <v>3944400</v>
      </c>
    </row>
    <row r="1622" spans="1:25" ht="25.5">
      <c r="A1622" s="181"/>
      <c r="B1622" s="163"/>
      <c r="C1622" s="163"/>
      <c r="D1622" s="163"/>
      <c r="E1622" s="163"/>
      <c r="F1622" s="163"/>
      <c r="G1622" s="163"/>
      <c r="H1622" s="163"/>
      <c r="I1622" s="163"/>
      <c r="J1622" s="163"/>
      <c r="K1622" s="163"/>
      <c r="L1622" s="163"/>
      <c r="M1622" s="163"/>
      <c r="N1622" s="163"/>
      <c r="O1622" s="163"/>
      <c r="P1622" s="163"/>
      <c r="Q1622" s="163"/>
      <c r="R1622" s="163"/>
      <c r="S1622" s="163"/>
      <c r="T1622" s="163"/>
      <c r="U1622" s="178" t="s">
        <v>1652</v>
      </c>
      <c r="V1622" s="165"/>
      <c r="W1622" s="451">
        <v>20000000</v>
      </c>
      <c r="X1622" s="165">
        <v>20000000</v>
      </c>
      <c r="Y1622" s="165">
        <v>20000000</v>
      </c>
    </row>
    <row r="1623" spans="1:25">
      <c r="A1623" s="181"/>
      <c r="B1623" s="163"/>
      <c r="C1623" s="163"/>
      <c r="D1623" s="163"/>
      <c r="E1623" s="163"/>
      <c r="F1623" s="163"/>
      <c r="G1623" s="163"/>
      <c r="H1623" s="163"/>
      <c r="I1623" s="163"/>
      <c r="J1623" s="163"/>
      <c r="K1623" s="163"/>
      <c r="L1623" s="163"/>
      <c r="M1623" s="163"/>
      <c r="N1623" s="163"/>
      <c r="O1623" s="163"/>
      <c r="P1623" s="163"/>
      <c r="Q1623" s="163"/>
      <c r="R1623" s="163"/>
      <c r="S1623" s="163"/>
      <c r="T1623" s="163"/>
      <c r="U1623" s="178" t="s">
        <v>1653</v>
      </c>
      <c r="V1623" s="165"/>
      <c r="W1623" s="451">
        <v>36480000</v>
      </c>
      <c r="X1623" s="165">
        <v>26640000</v>
      </c>
      <c r="Y1623" s="165">
        <v>22440000</v>
      </c>
    </row>
    <row r="1624" spans="1:25" s="184" customFormat="1">
      <c r="A1624" s="181"/>
      <c r="B1624" s="182"/>
      <c r="C1624" s="182"/>
      <c r="D1624" s="182"/>
      <c r="E1624" s="182"/>
      <c r="F1624" s="182"/>
      <c r="G1624" s="182"/>
      <c r="H1624" s="182"/>
      <c r="I1624" s="182"/>
      <c r="J1624" s="182"/>
      <c r="K1624" s="182"/>
      <c r="L1624" s="182"/>
      <c r="M1624" s="182"/>
      <c r="N1624" s="182"/>
      <c r="O1624" s="182"/>
      <c r="P1624" s="182"/>
      <c r="Q1624" s="182"/>
      <c r="R1624" s="182"/>
      <c r="S1624" s="182"/>
      <c r="T1624" s="182"/>
      <c r="U1624" s="183"/>
      <c r="V1624" s="168"/>
      <c r="W1624" s="334">
        <f t="shared" ref="W1624:Y1624" si="157">SUM(W1619:W1623)</f>
        <v>238878802</v>
      </c>
      <c r="X1624" s="168">
        <f t="shared" si="157"/>
        <v>316729400</v>
      </c>
      <c r="Y1624" s="168">
        <f t="shared" si="157"/>
        <v>296185400</v>
      </c>
    </row>
    <row r="1625" spans="1:25">
      <c r="A1625" s="204"/>
      <c r="U1625" s="190" t="s">
        <v>1218</v>
      </c>
    </row>
    <row r="1626" spans="1:25">
      <c r="A1626" s="204"/>
      <c r="U1626" s="144" t="s">
        <v>2181</v>
      </c>
      <c r="V1626" s="262">
        <v>238878802</v>
      </c>
    </row>
    <row r="1627" spans="1:25">
      <c r="A1627" s="204"/>
    </row>
    <row r="1628" spans="1:25">
      <c r="A1628" s="204"/>
    </row>
    <row r="1629" spans="1:25">
      <c r="A1629" s="204"/>
    </row>
    <row r="1630" spans="1:25">
      <c r="A1630" s="204"/>
    </row>
    <row r="1631" spans="1:25" ht="26.25">
      <c r="A1631" s="187" t="s">
        <v>158</v>
      </c>
      <c r="B1631" s="187"/>
      <c r="C1631" s="187"/>
      <c r="D1631" s="187"/>
      <c r="E1631" s="187"/>
      <c r="F1631" s="187"/>
      <c r="G1631" s="187"/>
      <c r="H1631" s="187"/>
      <c r="I1631" s="187"/>
      <c r="J1631" s="187"/>
      <c r="K1631" s="187"/>
      <c r="L1631" s="187"/>
      <c r="M1631" s="187"/>
      <c r="N1631" s="187"/>
      <c r="O1631" s="187"/>
      <c r="P1631" s="187"/>
      <c r="Q1631" s="187"/>
      <c r="R1631" s="187"/>
      <c r="S1631" s="187"/>
      <c r="T1631" s="187"/>
      <c r="U1631" s="187"/>
      <c r="V1631" s="187"/>
      <c r="W1631" s="356"/>
      <c r="X1631" s="187"/>
      <c r="Y1631" s="187"/>
    </row>
    <row r="1632" spans="1:25" ht="25.5">
      <c r="A1632" s="162"/>
      <c r="B1632" s="163"/>
      <c r="C1632" s="163"/>
      <c r="D1632" s="163"/>
      <c r="E1632" s="163"/>
      <c r="F1632" s="163"/>
      <c r="G1632" s="163"/>
      <c r="H1632" s="163"/>
      <c r="I1632" s="163"/>
      <c r="J1632" s="163"/>
      <c r="K1632" s="163"/>
      <c r="L1632" s="163"/>
      <c r="M1632" s="163"/>
      <c r="N1632" s="163"/>
      <c r="O1632" s="163"/>
      <c r="P1632" s="163"/>
      <c r="Q1632" s="163"/>
      <c r="R1632" s="163"/>
      <c r="S1632" s="163"/>
      <c r="T1632" s="163"/>
      <c r="U1632" s="178" t="s">
        <v>2030</v>
      </c>
      <c r="V1632" s="165"/>
      <c r="W1632" s="451">
        <v>67376400</v>
      </c>
      <c r="X1632" s="165">
        <v>50000000</v>
      </c>
      <c r="Y1632" s="165">
        <v>32000000</v>
      </c>
    </row>
    <row r="1633" spans="1:25">
      <c r="A1633" s="162"/>
      <c r="B1633" s="163"/>
      <c r="C1633" s="163"/>
      <c r="D1633" s="163"/>
      <c r="E1633" s="163"/>
      <c r="F1633" s="163"/>
      <c r="G1633" s="163"/>
      <c r="H1633" s="163"/>
      <c r="I1633" s="163"/>
      <c r="J1633" s="163"/>
      <c r="K1633" s="163"/>
      <c r="L1633" s="163"/>
      <c r="M1633" s="163"/>
      <c r="N1633" s="163"/>
      <c r="O1633" s="163"/>
      <c r="P1633" s="163"/>
      <c r="Q1633" s="163"/>
      <c r="R1633" s="163"/>
      <c r="S1633" s="163"/>
      <c r="T1633" s="163"/>
      <c r="U1633" s="178" t="s">
        <v>2588</v>
      </c>
      <c r="V1633" s="165"/>
      <c r="W1633" s="451">
        <v>0</v>
      </c>
      <c r="X1633" s="165">
        <v>910000</v>
      </c>
      <c r="Y1633" s="165"/>
    </row>
    <row r="1634" spans="1:25">
      <c r="A1634" s="162"/>
      <c r="B1634" s="163"/>
      <c r="C1634" s="163"/>
      <c r="D1634" s="163"/>
      <c r="E1634" s="163"/>
      <c r="F1634" s="163"/>
      <c r="G1634" s="163"/>
      <c r="H1634" s="163"/>
      <c r="I1634" s="163"/>
      <c r="J1634" s="163"/>
      <c r="K1634" s="163"/>
      <c r="L1634" s="163"/>
      <c r="M1634" s="163"/>
      <c r="N1634" s="163"/>
      <c r="O1634" s="163"/>
      <c r="P1634" s="163"/>
      <c r="Q1634" s="163"/>
      <c r="R1634" s="163"/>
      <c r="S1634" s="163"/>
      <c r="T1634" s="163"/>
      <c r="U1634" s="178" t="s">
        <v>2194</v>
      </c>
      <c r="V1634" s="165"/>
      <c r="W1634" s="451">
        <v>0</v>
      </c>
      <c r="X1634" s="165">
        <v>675000</v>
      </c>
      <c r="Y1634" s="165"/>
    </row>
    <row r="1635" spans="1:25">
      <c r="A1635" s="162"/>
      <c r="B1635" s="163"/>
      <c r="C1635" s="163"/>
      <c r="D1635" s="163"/>
      <c r="E1635" s="163"/>
      <c r="F1635" s="163"/>
      <c r="G1635" s="163"/>
      <c r="H1635" s="163"/>
      <c r="I1635" s="163"/>
      <c r="J1635" s="163"/>
      <c r="K1635" s="163"/>
      <c r="L1635" s="163"/>
      <c r="M1635" s="163"/>
      <c r="N1635" s="163"/>
      <c r="O1635" s="163"/>
      <c r="P1635" s="163"/>
      <c r="Q1635" s="163"/>
      <c r="R1635" s="163"/>
      <c r="S1635" s="163"/>
      <c r="T1635" s="163"/>
      <c r="U1635" s="178" t="s">
        <v>2195</v>
      </c>
      <c r="V1635" s="165"/>
      <c r="W1635" s="451">
        <v>0</v>
      </c>
      <c r="X1635" s="165"/>
      <c r="Y1635" s="165"/>
    </row>
    <row r="1636" spans="1:25" s="184" customFormat="1">
      <c r="A1636" s="181"/>
      <c r="B1636" s="182"/>
      <c r="C1636" s="182"/>
      <c r="D1636" s="182"/>
      <c r="E1636" s="182"/>
      <c r="F1636" s="182"/>
      <c r="G1636" s="182"/>
      <c r="H1636" s="182"/>
      <c r="I1636" s="182"/>
      <c r="J1636" s="182"/>
      <c r="K1636" s="182"/>
      <c r="L1636" s="182"/>
      <c r="M1636" s="182"/>
      <c r="N1636" s="182"/>
      <c r="O1636" s="182"/>
      <c r="P1636" s="182"/>
      <c r="Q1636" s="182"/>
      <c r="R1636" s="182"/>
      <c r="S1636" s="182"/>
      <c r="T1636" s="182"/>
      <c r="U1636" s="183"/>
      <c r="V1636" s="168"/>
      <c r="W1636" s="334">
        <f t="shared" ref="W1636:Y1636" si="158">SUM(W1632:W1635)</f>
        <v>67376400</v>
      </c>
      <c r="X1636" s="168">
        <f t="shared" si="158"/>
        <v>51585000</v>
      </c>
      <c r="Y1636" s="168">
        <f t="shared" si="158"/>
        <v>32000000</v>
      </c>
    </row>
    <row r="1638" spans="1:25">
      <c r="U1638" s="190" t="s">
        <v>1218</v>
      </c>
    </row>
    <row r="1639" spans="1:25">
      <c r="U1639" s="144" t="s">
        <v>2181</v>
      </c>
      <c r="V1639" s="262">
        <v>67376400</v>
      </c>
    </row>
    <row r="1643" spans="1:25" ht="26.25">
      <c r="A1643" s="187" t="s">
        <v>1654</v>
      </c>
      <c r="B1643" s="187"/>
      <c r="C1643" s="187"/>
      <c r="D1643" s="187"/>
      <c r="E1643" s="187"/>
      <c r="F1643" s="187"/>
      <c r="G1643" s="187"/>
      <c r="H1643" s="187"/>
      <c r="I1643" s="187"/>
      <c r="J1643" s="187"/>
      <c r="K1643" s="187"/>
      <c r="L1643" s="187"/>
      <c r="M1643" s="187"/>
      <c r="N1643" s="187"/>
      <c r="O1643" s="187"/>
      <c r="P1643" s="187"/>
      <c r="Q1643" s="187"/>
      <c r="R1643" s="187"/>
      <c r="S1643" s="187"/>
      <c r="T1643" s="187"/>
      <c r="U1643" s="187"/>
      <c r="V1643" s="187"/>
      <c r="W1643" s="356"/>
      <c r="X1643" s="187"/>
      <c r="Y1643" s="187"/>
    </row>
    <row r="1644" spans="1:25">
      <c r="A1644" s="162"/>
      <c r="B1644" s="163"/>
      <c r="C1644" s="163"/>
      <c r="D1644" s="163"/>
      <c r="E1644" s="163"/>
      <c r="F1644" s="163"/>
      <c r="G1644" s="163"/>
      <c r="H1644" s="163"/>
      <c r="I1644" s="163"/>
      <c r="J1644" s="163"/>
      <c r="K1644" s="163"/>
      <c r="L1644" s="163"/>
      <c r="M1644" s="163"/>
      <c r="N1644" s="163"/>
      <c r="O1644" s="163"/>
      <c r="P1644" s="163"/>
      <c r="Q1644" s="163"/>
      <c r="R1644" s="163"/>
      <c r="S1644" s="163"/>
      <c r="T1644" s="163"/>
      <c r="U1644" s="178" t="s">
        <v>2031</v>
      </c>
      <c r="V1644" s="165"/>
      <c r="W1644" s="451">
        <v>25000000</v>
      </c>
      <c r="X1644" s="165"/>
      <c r="Y1644" s="165"/>
    </row>
    <row r="1645" spans="1:25">
      <c r="A1645" s="162"/>
      <c r="B1645" s="163"/>
      <c r="C1645" s="163"/>
      <c r="D1645" s="163"/>
      <c r="E1645" s="163"/>
      <c r="F1645" s="163"/>
      <c r="G1645" s="163"/>
      <c r="H1645" s="163"/>
      <c r="I1645" s="163"/>
      <c r="J1645" s="163"/>
      <c r="K1645" s="163"/>
      <c r="L1645" s="163"/>
      <c r="M1645" s="163"/>
      <c r="N1645" s="163"/>
      <c r="O1645" s="163"/>
      <c r="P1645" s="163"/>
      <c r="Q1645" s="163"/>
      <c r="R1645" s="163"/>
      <c r="S1645" s="163"/>
      <c r="T1645" s="163"/>
      <c r="U1645" s="178" t="s">
        <v>1655</v>
      </c>
      <c r="V1645" s="165"/>
      <c r="W1645" s="451">
        <v>94000000</v>
      </c>
      <c r="X1645" s="165">
        <v>120000000</v>
      </c>
      <c r="Y1645" s="165">
        <v>150000000</v>
      </c>
    </row>
    <row r="1646" spans="1:25" s="184" customFormat="1">
      <c r="A1646" s="181"/>
      <c r="B1646" s="182"/>
      <c r="C1646" s="182"/>
      <c r="D1646" s="182"/>
      <c r="E1646" s="182"/>
      <c r="F1646" s="182"/>
      <c r="G1646" s="182"/>
      <c r="H1646" s="182"/>
      <c r="I1646" s="182"/>
      <c r="J1646" s="182"/>
      <c r="K1646" s="182"/>
      <c r="L1646" s="182"/>
      <c r="M1646" s="182"/>
      <c r="N1646" s="182"/>
      <c r="O1646" s="182"/>
      <c r="P1646" s="182"/>
      <c r="Q1646" s="182"/>
      <c r="R1646" s="182"/>
      <c r="S1646" s="182"/>
      <c r="T1646" s="182"/>
      <c r="U1646" s="183"/>
      <c r="V1646" s="168"/>
      <c r="W1646" s="334">
        <f t="shared" ref="W1646:Y1646" si="159">SUM(W1644:W1645)</f>
        <v>119000000</v>
      </c>
      <c r="X1646" s="168">
        <f t="shared" si="159"/>
        <v>120000000</v>
      </c>
      <c r="Y1646" s="168">
        <f t="shared" si="159"/>
        <v>150000000</v>
      </c>
    </row>
    <row r="1652" spans="1:25" ht="26.25">
      <c r="A1652" s="187" t="s">
        <v>157</v>
      </c>
      <c r="B1652" s="187"/>
      <c r="C1652" s="187"/>
      <c r="D1652" s="187"/>
      <c r="E1652" s="187"/>
      <c r="F1652" s="187"/>
      <c r="G1652" s="187"/>
      <c r="H1652" s="187"/>
      <c r="I1652" s="187"/>
      <c r="J1652" s="187"/>
      <c r="K1652" s="187"/>
      <c r="L1652" s="187"/>
      <c r="M1652" s="187"/>
      <c r="N1652" s="187"/>
      <c r="O1652" s="187"/>
      <c r="P1652" s="187"/>
      <c r="Q1652" s="187"/>
      <c r="R1652" s="187"/>
      <c r="S1652" s="187"/>
      <c r="T1652" s="187"/>
      <c r="U1652" s="187"/>
      <c r="V1652" s="187"/>
      <c r="W1652" s="356"/>
      <c r="X1652" s="187"/>
      <c r="Y1652" s="187"/>
    </row>
    <row r="1653" spans="1:25">
      <c r="A1653" s="162"/>
      <c r="B1653" s="163"/>
      <c r="C1653" s="163"/>
      <c r="D1653" s="163"/>
      <c r="E1653" s="163"/>
      <c r="F1653" s="163"/>
      <c r="G1653" s="163"/>
      <c r="H1653" s="163"/>
      <c r="I1653" s="163"/>
      <c r="J1653" s="163"/>
      <c r="K1653" s="163"/>
      <c r="L1653" s="163"/>
      <c r="M1653" s="163"/>
      <c r="N1653" s="163"/>
      <c r="O1653" s="163"/>
      <c r="P1653" s="163"/>
      <c r="Q1653" s="163"/>
      <c r="R1653" s="163"/>
      <c r="S1653" s="163"/>
      <c r="T1653" s="163"/>
      <c r="U1653" s="178" t="s">
        <v>2631</v>
      </c>
      <c r="V1653" s="165"/>
      <c r="W1653" s="451">
        <v>63015000</v>
      </c>
      <c r="X1653" s="165"/>
      <c r="Y1653" s="165"/>
    </row>
    <row r="1654" spans="1:25">
      <c r="A1654" s="162"/>
      <c r="B1654" s="163"/>
      <c r="C1654" s="163"/>
      <c r="D1654" s="163"/>
      <c r="E1654" s="163"/>
      <c r="F1654" s="163"/>
      <c r="G1654" s="163"/>
      <c r="H1654" s="163"/>
      <c r="I1654" s="163"/>
      <c r="J1654" s="163"/>
      <c r="K1654" s="163"/>
      <c r="L1654" s="163"/>
      <c r="M1654" s="163"/>
      <c r="N1654" s="163"/>
      <c r="O1654" s="163"/>
      <c r="P1654" s="163"/>
      <c r="Q1654" s="163"/>
      <c r="R1654" s="163"/>
      <c r="S1654" s="163"/>
      <c r="T1654" s="163"/>
      <c r="U1654" s="178" t="s">
        <v>2632</v>
      </c>
      <c r="V1654" s="165"/>
      <c r="W1654" s="451">
        <v>5000000</v>
      </c>
      <c r="X1654" s="165"/>
      <c r="Y1654" s="165"/>
    </row>
    <row r="1655" spans="1:25">
      <c r="A1655" s="162"/>
      <c r="B1655" s="163"/>
      <c r="C1655" s="163"/>
      <c r="D1655" s="163"/>
      <c r="E1655" s="163"/>
      <c r="F1655" s="163"/>
      <c r="G1655" s="163"/>
      <c r="H1655" s="163"/>
      <c r="I1655" s="163"/>
      <c r="J1655" s="163"/>
      <c r="K1655" s="163"/>
      <c r="L1655" s="163"/>
      <c r="M1655" s="163"/>
      <c r="N1655" s="163"/>
      <c r="O1655" s="163"/>
      <c r="P1655" s="163"/>
      <c r="Q1655" s="163"/>
      <c r="R1655" s="163"/>
      <c r="S1655" s="163"/>
      <c r="T1655" s="163"/>
      <c r="U1655" s="178" t="s">
        <v>2633</v>
      </c>
      <c r="V1655" s="165"/>
      <c r="W1655" s="451">
        <f>3850000</f>
        <v>3850000</v>
      </c>
      <c r="X1655" s="165"/>
      <c r="Y1655" s="165"/>
    </row>
    <row r="1656" spans="1:25" s="184" customFormat="1">
      <c r="A1656" s="181"/>
      <c r="B1656" s="182"/>
      <c r="C1656" s="182"/>
      <c r="D1656" s="182"/>
      <c r="E1656" s="182"/>
      <c r="F1656" s="182"/>
      <c r="G1656" s="182"/>
      <c r="H1656" s="182"/>
      <c r="I1656" s="182"/>
      <c r="J1656" s="182"/>
      <c r="K1656" s="182"/>
      <c r="L1656" s="182"/>
      <c r="M1656" s="182"/>
      <c r="N1656" s="182"/>
      <c r="O1656" s="182"/>
      <c r="P1656" s="182"/>
      <c r="Q1656" s="182"/>
      <c r="R1656" s="182"/>
      <c r="S1656" s="182"/>
      <c r="T1656" s="182"/>
      <c r="U1656" s="183"/>
      <c r="V1656" s="168"/>
      <c r="W1656" s="334">
        <f>SUM(W1653:W1655)</f>
        <v>71865000</v>
      </c>
      <c r="X1656" s="168">
        <f>SUM(X1653:X1655)</f>
        <v>0</v>
      </c>
      <c r="Y1656" s="168">
        <f>SUM(Y1653:Y1655)</f>
        <v>0</v>
      </c>
    </row>
    <row r="1657" spans="1:25">
      <c r="U1657" s="144" t="s">
        <v>1608</v>
      </c>
    </row>
    <row r="1658" spans="1:25">
      <c r="U1658" s="144" t="s">
        <v>2646</v>
      </c>
      <c r="V1658" s="145">
        <v>4800000</v>
      </c>
    </row>
    <row r="1662" spans="1:25" ht="26.25">
      <c r="A1662" s="187" t="s">
        <v>106</v>
      </c>
      <c r="B1662" s="187"/>
      <c r="C1662" s="187"/>
      <c r="D1662" s="187"/>
      <c r="E1662" s="187"/>
      <c r="F1662" s="187"/>
      <c r="G1662" s="187"/>
      <c r="H1662" s="187"/>
      <c r="I1662" s="187"/>
      <c r="J1662" s="187"/>
      <c r="K1662" s="187"/>
      <c r="L1662" s="187"/>
      <c r="M1662" s="187"/>
      <c r="N1662" s="187"/>
      <c r="O1662" s="187"/>
      <c r="P1662" s="187"/>
      <c r="Q1662" s="187"/>
      <c r="R1662" s="187"/>
      <c r="S1662" s="187"/>
      <c r="T1662" s="187"/>
      <c r="U1662" s="187"/>
      <c r="V1662" s="187"/>
      <c r="W1662" s="356"/>
      <c r="X1662" s="187"/>
      <c r="Y1662" s="187"/>
    </row>
    <row r="1663" spans="1:25">
      <c r="A1663" s="162"/>
      <c r="B1663" s="163"/>
      <c r="C1663" s="163"/>
      <c r="D1663" s="163"/>
      <c r="E1663" s="163"/>
      <c r="F1663" s="163"/>
      <c r="G1663" s="163"/>
      <c r="H1663" s="163"/>
      <c r="I1663" s="163"/>
      <c r="J1663" s="163"/>
      <c r="K1663" s="163"/>
      <c r="L1663" s="163"/>
      <c r="M1663" s="163"/>
      <c r="N1663" s="163"/>
      <c r="O1663" s="163"/>
      <c r="P1663" s="163"/>
      <c r="Q1663" s="163"/>
      <c r="R1663" s="163"/>
      <c r="S1663" s="163"/>
      <c r="T1663" s="163"/>
      <c r="U1663" s="178" t="s">
        <v>1656</v>
      </c>
      <c r="V1663" s="165"/>
      <c r="W1663" s="451">
        <v>96000000</v>
      </c>
      <c r="X1663" s="282">
        <v>0</v>
      </c>
      <c r="Y1663" s="282">
        <v>32856385</v>
      </c>
    </row>
    <row r="1664" spans="1:25">
      <c r="A1664" s="162"/>
      <c r="B1664" s="163"/>
      <c r="C1664" s="163"/>
      <c r="D1664" s="163"/>
      <c r="E1664" s="163"/>
      <c r="F1664" s="163"/>
      <c r="G1664" s="163"/>
      <c r="H1664" s="163"/>
      <c r="I1664" s="163"/>
      <c r="J1664" s="163"/>
      <c r="K1664" s="163"/>
      <c r="L1664" s="163"/>
      <c r="M1664" s="163"/>
      <c r="N1664" s="163"/>
      <c r="O1664" s="163"/>
      <c r="P1664" s="163"/>
      <c r="Q1664" s="163"/>
      <c r="R1664" s="163"/>
      <c r="S1664" s="163"/>
      <c r="T1664" s="163"/>
      <c r="U1664" s="178" t="s">
        <v>1657</v>
      </c>
      <c r="V1664" s="165">
        <v>20000000</v>
      </c>
      <c r="W1664" s="451">
        <v>25000000</v>
      </c>
      <c r="X1664" s="282">
        <v>25000000</v>
      </c>
      <c r="Y1664" s="282">
        <v>50000000</v>
      </c>
    </row>
    <row r="1665" spans="1:25">
      <c r="A1665" s="162"/>
      <c r="B1665" s="163"/>
      <c r="C1665" s="163"/>
      <c r="D1665" s="163"/>
      <c r="E1665" s="163"/>
      <c r="F1665" s="163"/>
      <c r="G1665" s="163"/>
      <c r="H1665" s="163"/>
      <c r="I1665" s="163"/>
      <c r="J1665" s="163"/>
      <c r="K1665" s="163"/>
      <c r="L1665" s="163"/>
      <c r="M1665" s="163"/>
      <c r="N1665" s="163"/>
      <c r="O1665" s="163"/>
      <c r="P1665" s="163"/>
      <c r="Q1665" s="163"/>
      <c r="R1665" s="163"/>
      <c r="S1665" s="163"/>
      <c r="T1665" s="163"/>
      <c r="U1665" s="178" t="s">
        <v>2124</v>
      </c>
      <c r="V1665" s="165"/>
      <c r="W1665" s="451">
        <v>36000000</v>
      </c>
      <c r="X1665" s="282">
        <v>43200000</v>
      </c>
      <c r="Y1665" s="282">
        <v>3612500</v>
      </c>
    </row>
    <row r="1666" spans="1:25">
      <c r="A1666" s="162"/>
      <c r="B1666" s="163"/>
      <c r="C1666" s="163"/>
      <c r="D1666" s="163"/>
      <c r="E1666" s="163"/>
      <c r="F1666" s="163"/>
      <c r="G1666" s="163"/>
      <c r="H1666" s="163"/>
      <c r="I1666" s="163"/>
      <c r="J1666" s="163"/>
      <c r="K1666" s="163"/>
      <c r="L1666" s="163"/>
      <c r="M1666" s="163"/>
      <c r="N1666" s="163"/>
      <c r="O1666" s="163"/>
      <c r="P1666" s="163"/>
      <c r="Q1666" s="163"/>
      <c r="R1666" s="163"/>
      <c r="S1666" s="163"/>
      <c r="T1666" s="163"/>
      <c r="U1666" s="178" t="s">
        <v>2125</v>
      </c>
      <c r="V1666" s="165">
        <v>766000</v>
      </c>
      <c r="W1666" s="451">
        <v>12000000</v>
      </c>
      <c r="X1666" s="282">
        <v>21000000</v>
      </c>
      <c r="Y1666" s="282">
        <v>2950000</v>
      </c>
    </row>
    <row r="1667" spans="1:25">
      <c r="A1667" s="162"/>
      <c r="B1667" s="163"/>
      <c r="C1667" s="163"/>
      <c r="D1667" s="163"/>
      <c r="E1667" s="163"/>
      <c r="F1667" s="163"/>
      <c r="G1667" s="163"/>
      <c r="H1667" s="163"/>
      <c r="I1667" s="163"/>
      <c r="J1667" s="163"/>
      <c r="K1667" s="163"/>
      <c r="L1667" s="163"/>
      <c r="M1667" s="163"/>
      <c r="N1667" s="163"/>
      <c r="O1667" s="163"/>
      <c r="P1667" s="163"/>
      <c r="Q1667" s="163"/>
      <c r="R1667" s="163"/>
      <c r="S1667" s="163"/>
      <c r="T1667" s="163"/>
      <c r="U1667" s="178" t="s">
        <v>1658</v>
      </c>
      <c r="V1667" s="165"/>
      <c r="W1667" s="451">
        <v>5000000</v>
      </c>
      <c r="X1667" s="282">
        <v>8750000</v>
      </c>
      <c r="Y1667" s="282">
        <v>2725000</v>
      </c>
    </row>
    <row r="1668" spans="1:25">
      <c r="A1668" s="162"/>
      <c r="B1668" s="163"/>
      <c r="C1668" s="163"/>
      <c r="D1668" s="163"/>
      <c r="E1668" s="163"/>
      <c r="F1668" s="163"/>
      <c r="G1668" s="163"/>
      <c r="H1668" s="163"/>
      <c r="I1668" s="163"/>
      <c r="J1668" s="163"/>
      <c r="K1668" s="163"/>
      <c r="L1668" s="163"/>
      <c r="M1668" s="163"/>
      <c r="N1668" s="163"/>
      <c r="O1668" s="163"/>
      <c r="P1668" s="163"/>
      <c r="Q1668" s="163"/>
      <c r="R1668" s="163"/>
      <c r="S1668" s="163"/>
      <c r="T1668" s="163"/>
      <c r="U1668" s="178" t="s">
        <v>2589</v>
      </c>
      <c r="V1668" s="165"/>
      <c r="W1668" s="451">
        <v>6800000</v>
      </c>
      <c r="X1668" s="282">
        <v>3400000</v>
      </c>
      <c r="Y1668" s="282">
        <v>25755000</v>
      </c>
    </row>
    <row r="1669" spans="1:25">
      <c r="A1669" s="162"/>
      <c r="B1669" s="163"/>
      <c r="C1669" s="163"/>
      <c r="D1669" s="163"/>
      <c r="E1669" s="163"/>
      <c r="F1669" s="163"/>
      <c r="G1669" s="163"/>
      <c r="H1669" s="163"/>
      <c r="I1669" s="163"/>
      <c r="J1669" s="163"/>
      <c r="K1669" s="163"/>
      <c r="L1669" s="163"/>
      <c r="M1669" s="163"/>
      <c r="N1669" s="163"/>
      <c r="O1669" s="163"/>
      <c r="P1669" s="163"/>
      <c r="Q1669" s="163"/>
      <c r="R1669" s="163"/>
      <c r="S1669" s="163"/>
      <c r="T1669" s="163"/>
      <c r="U1669" s="178" t="s">
        <v>2032</v>
      </c>
      <c r="V1669" s="165">
        <v>19586000</v>
      </c>
      <c r="W1669" s="451">
        <v>22586000</v>
      </c>
      <c r="X1669" s="282">
        <v>22586000</v>
      </c>
      <c r="Y1669" s="282">
        <v>3175000</v>
      </c>
    </row>
    <row r="1670" spans="1:25">
      <c r="A1670" s="162"/>
      <c r="B1670" s="163"/>
      <c r="C1670" s="163"/>
      <c r="D1670" s="163"/>
      <c r="E1670" s="163"/>
      <c r="F1670" s="163"/>
      <c r="G1670" s="163"/>
      <c r="H1670" s="163"/>
      <c r="I1670" s="163"/>
      <c r="J1670" s="163"/>
      <c r="K1670" s="163"/>
      <c r="L1670" s="163"/>
      <c r="M1670" s="163"/>
      <c r="N1670" s="163"/>
      <c r="O1670" s="163"/>
      <c r="P1670" s="163"/>
      <c r="Q1670" s="163"/>
      <c r="R1670" s="163"/>
      <c r="S1670" s="163"/>
      <c r="T1670" s="163"/>
      <c r="U1670" s="178" t="s">
        <v>1659</v>
      </c>
      <c r="V1670" s="165"/>
      <c r="W1670" s="451">
        <v>300000000</v>
      </c>
      <c r="X1670" s="282">
        <v>100000000</v>
      </c>
      <c r="Y1670" s="282">
        <v>0</v>
      </c>
    </row>
    <row r="1671" spans="1:25">
      <c r="A1671" s="162"/>
      <c r="B1671" s="163"/>
      <c r="C1671" s="163"/>
      <c r="D1671" s="163"/>
      <c r="E1671" s="163"/>
      <c r="F1671" s="163"/>
      <c r="G1671" s="163"/>
      <c r="H1671" s="163"/>
      <c r="I1671" s="163"/>
      <c r="J1671" s="163"/>
      <c r="K1671" s="163"/>
      <c r="L1671" s="163"/>
      <c r="M1671" s="163"/>
      <c r="N1671" s="163"/>
      <c r="O1671" s="163"/>
      <c r="P1671" s="163"/>
      <c r="Q1671" s="163"/>
      <c r="R1671" s="163"/>
      <c r="S1671" s="163"/>
      <c r="T1671" s="163"/>
      <c r="U1671" s="178" t="s">
        <v>2033</v>
      </c>
      <c r="V1671" s="165">
        <v>5649000</v>
      </c>
      <c r="W1671" s="451">
        <v>20000000</v>
      </c>
      <c r="X1671" s="282">
        <v>30000000</v>
      </c>
      <c r="Y1671" s="282">
        <v>6200000</v>
      </c>
    </row>
    <row r="1672" spans="1:25">
      <c r="A1672" s="162"/>
      <c r="B1672" s="163"/>
      <c r="C1672" s="163"/>
      <c r="D1672" s="163"/>
      <c r="E1672" s="163"/>
      <c r="F1672" s="163"/>
      <c r="G1672" s="163"/>
      <c r="H1672" s="163"/>
      <c r="I1672" s="163"/>
      <c r="J1672" s="163"/>
      <c r="K1672" s="163"/>
      <c r="L1672" s="163"/>
      <c r="M1672" s="163"/>
      <c r="N1672" s="163"/>
      <c r="O1672" s="163"/>
      <c r="P1672" s="163"/>
      <c r="Q1672" s="163"/>
      <c r="R1672" s="163"/>
      <c r="S1672" s="163"/>
      <c r="T1672" s="163"/>
      <c r="U1672" s="178" t="s">
        <v>1660</v>
      </c>
      <c r="V1672" s="165"/>
      <c r="W1672" s="451">
        <v>6000000</v>
      </c>
      <c r="X1672" s="282">
        <v>10800000</v>
      </c>
      <c r="Y1672" s="282">
        <v>50000000</v>
      </c>
    </row>
    <row r="1673" spans="1:25" ht="25.5">
      <c r="A1673" s="162"/>
      <c r="B1673" s="163"/>
      <c r="C1673" s="163"/>
      <c r="D1673" s="163"/>
      <c r="E1673" s="163"/>
      <c r="F1673" s="163"/>
      <c r="G1673" s="163"/>
      <c r="H1673" s="163"/>
      <c r="I1673" s="163"/>
      <c r="J1673" s="163"/>
      <c r="K1673" s="163"/>
      <c r="L1673" s="163"/>
      <c r="M1673" s="163"/>
      <c r="N1673" s="163"/>
      <c r="O1673" s="163"/>
      <c r="P1673" s="163"/>
      <c r="Q1673" s="163"/>
      <c r="R1673" s="163"/>
      <c r="S1673" s="163"/>
      <c r="T1673" s="163"/>
      <c r="U1673" s="178" t="s">
        <v>2590</v>
      </c>
      <c r="V1673" s="165"/>
      <c r="W1673" s="451">
        <v>5000000</v>
      </c>
      <c r="X1673" s="282">
        <v>5000000</v>
      </c>
      <c r="Y1673" s="282">
        <v>50000000</v>
      </c>
    </row>
    <row r="1674" spans="1:25">
      <c r="A1674" s="162"/>
      <c r="B1674" s="163"/>
      <c r="C1674" s="163"/>
      <c r="D1674" s="163"/>
      <c r="E1674" s="163"/>
      <c r="F1674" s="163"/>
      <c r="G1674" s="163"/>
      <c r="H1674" s="163"/>
      <c r="I1674" s="163"/>
      <c r="J1674" s="163"/>
      <c r="K1674" s="163"/>
      <c r="L1674" s="163"/>
      <c r="M1674" s="163"/>
      <c r="N1674" s="163"/>
      <c r="O1674" s="163"/>
      <c r="P1674" s="163"/>
      <c r="Q1674" s="163"/>
      <c r="R1674" s="163"/>
      <c r="S1674" s="163"/>
      <c r="T1674" s="163"/>
      <c r="U1674" s="178" t="s">
        <v>2591</v>
      </c>
      <c r="V1674" s="165"/>
      <c r="W1674" s="451">
        <v>15000000</v>
      </c>
      <c r="X1674" s="282">
        <v>15000000</v>
      </c>
      <c r="Y1674" s="282">
        <v>25000000</v>
      </c>
    </row>
    <row r="1675" spans="1:25">
      <c r="A1675" s="162"/>
      <c r="B1675" s="163"/>
      <c r="C1675" s="163"/>
      <c r="D1675" s="163"/>
      <c r="E1675" s="163"/>
      <c r="F1675" s="163"/>
      <c r="G1675" s="163"/>
      <c r="H1675" s="163"/>
      <c r="I1675" s="163"/>
      <c r="J1675" s="163"/>
      <c r="K1675" s="163"/>
      <c r="L1675" s="163"/>
      <c r="M1675" s="163"/>
      <c r="N1675" s="163"/>
      <c r="O1675" s="163"/>
      <c r="P1675" s="163"/>
      <c r="Q1675" s="163"/>
      <c r="R1675" s="163"/>
      <c r="S1675" s="163"/>
      <c r="T1675" s="163"/>
      <c r="U1675" s="178" t="s">
        <v>1661</v>
      </c>
      <c r="V1675" s="165">
        <v>84873120</v>
      </c>
      <c r="W1675" s="451">
        <v>160000000</v>
      </c>
      <c r="X1675" s="282">
        <v>240000000</v>
      </c>
      <c r="Y1675" s="282">
        <v>100000000</v>
      </c>
    </row>
    <row r="1676" spans="1:25">
      <c r="A1676" s="162"/>
      <c r="B1676" s="163"/>
      <c r="C1676" s="163"/>
      <c r="D1676" s="163"/>
      <c r="E1676" s="163"/>
      <c r="F1676" s="163"/>
      <c r="G1676" s="163"/>
      <c r="H1676" s="163"/>
      <c r="I1676" s="163"/>
      <c r="J1676" s="163"/>
      <c r="K1676" s="163"/>
      <c r="L1676" s="163"/>
      <c r="M1676" s="163"/>
      <c r="N1676" s="163"/>
      <c r="O1676" s="163"/>
      <c r="P1676" s="163"/>
      <c r="Q1676" s="163"/>
      <c r="R1676" s="163"/>
      <c r="S1676" s="163"/>
      <c r="T1676" s="163"/>
      <c r="U1676" s="178" t="s">
        <v>1662</v>
      </c>
      <c r="V1676" s="165"/>
      <c r="W1676" s="451">
        <v>6000000</v>
      </c>
      <c r="X1676" s="282">
        <v>6000000</v>
      </c>
      <c r="Y1676" s="282">
        <v>3600000</v>
      </c>
    </row>
    <row r="1677" spans="1:25">
      <c r="A1677" s="162"/>
      <c r="B1677" s="163"/>
      <c r="C1677" s="163"/>
      <c r="D1677" s="163"/>
      <c r="E1677" s="163"/>
      <c r="F1677" s="163"/>
      <c r="G1677" s="163"/>
      <c r="H1677" s="163"/>
      <c r="I1677" s="163"/>
      <c r="J1677" s="163"/>
      <c r="K1677" s="163"/>
      <c r="L1677" s="163"/>
      <c r="M1677" s="163"/>
      <c r="N1677" s="163"/>
      <c r="O1677" s="163"/>
      <c r="P1677" s="163"/>
      <c r="Q1677" s="163"/>
      <c r="R1677" s="163"/>
      <c r="S1677" s="163"/>
      <c r="T1677" s="163"/>
      <c r="U1677" s="178" t="s">
        <v>1663</v>
      </c>
      <c r="V1677" s="165"/>
      <c r="W1677" s="451">
        <v>8000000</v>
      </c>
      <c r="X1677" s="282">
        <v>8000000</v>
      </c>
      <c r="Y1677" s="282">
        <v>5275000</v>
      </c>
    </row>
    <row r="1678" spans="1:25" ht="25.5">
      <c r="A1678" s="162"/>
      <c r="B1678" s="163"/>
      <c r="C1678" s="163"/>
      <c r="D1678" s="163"/>
      <c r="E1678" s="163"/>
      <c r="F1678" s="163"/>
      <c r="G1678" s="163"/>
      <c r="H1678" s="163"/>
      <c r="I1678" s="163"/>
      <c r="J1678" s="163"/>
      <c r="K1678" s="163"/>
      <c r="L1678" s="163"/>
      <c r="M1678" s="163"/>
      <c r="N1678" s="163"/>
      <c r="O1678" s="163"/>
      <c r="P1678" s="163"/>
      <c r="Q1678" s="163"/>
      <c r="R1678" s="163"/>
      <c r="S1678" s="163"/>
      <c r="T1678" s="163"/>
      <c r="U1678" s="178" t="s">
        <v>1664</v>
      </c>
      <c r="V1678" s="165">
        <v>62098000</v>
      </c>
      <c r="W1678" s="451">
        <v>835000000</v>
      </c>
      <c r="X1678" s="282">
        <v>250000000</v>
      </c>
      <c r="Y1678" s="282">
        <v>300000000</v>
      </c>
    </row>
    <row r="1679" spans="1:25">
      <c r="A1679" s="162"/>
      <c r="B1679" s="163"/>
      <c r="C1679" s="163"/>
      <c r="D1679" s="163"/>
      <c r="E1679" s="163"/>
      <c r="F1679" s="163"/>
      <c r="G1679" s="163"/>
      <c r="H1679" s="163"/>
      <c r="I1679" s="163"/>
      <c r="J1679" s="163"/>
      <c r="K1679" s="163"/>
      <c r="L1679" s="163"/>
      <c r="M1679" s="163"/>
      <c r="N1679" s="163"/>
      <c r="O1679" s="163"/>
      <c r="P1679" s="163"/>
      <c r="Q1679" s="163"/>
      <c r="R1679" s="163"/>
      <c r="S1679" s="163"/>
      <c r="T1679" s="163"/>
      <c r="U1679" s="178" t="s">
        <v>2592</v>
      </c>
      <c r="V1679" s="165">
        <v>1200000000</v>
      </c>
      <c r="W1679" s="451">
        <v>600000000</v>
      </c>
      <c r="X1679" s="282">
        <v>1200000000</v>
      </c>
      <c r="Y1679" s="282">
        <v>1200000000</v>
      </c>
    </row>
    <row r="1680" spans="1:25" ht="25.5">
      <c r="A1680" s="163"/>
      <c r="B1680" s="179"/>
      <c r="C1680" s="179"/>
      <c r="D1680" s="179"/>
      <c r="E1680" s="179"/>
      <c r="F1680" s="179"/>
      <c r="G1680" s="179"/>
      <c r="H1680" s="179"/>
      <c r="I1680" s="179"/>
      <c r="J1680" s="179"/>
      <c r="K1680" s="179"/>
      <c r="L1680" s="179"/>
      <c r="M1680" s="179"/>
      <c r="N1680" s="179"/>
      <c r="O1680" s="179"/>
      <c r="P1680" s="179"/>
      <c r="Q1680" s="179"/>
      <c r="R1680" s="179"/>
      <c r="S1680" s="180"/>
      <c r="T1680" s="180"/>
      <c r="U1680" s="170" t="s">
        <v>2593</v>
      </c>
      <c r="V1680" s="165">
        <v>3030000</v>
      </c>
      <c r="W1680" s="451">
        <v>0</v>
      </c>
      <c r="X1680" s="163"/>
      <c r="Y1680" s="163"/>
    </row>
    <row r="1681" spans="1:25" ht="25.5">
      <c r="A1681" s="163"/>
      <c r="B1681" s="179"/>
      <c r="C1681" s="179"/>
      <c r="D1681" s="179"/>
      <c r="E1681" s="179"/>
      <c r="F1681" s="179"/>
      <c r="G1681" s="179"/>
      <c r="H1681" s="179"/>
      <c r="I1681" s="179"/>
      <c r="J1681" s="179"/>
      <c r="K1681" s="179"/>
      <c r="L1681" s="179"/>
      <c r="M1681" s="179"/>
      <c r="N1681" s="179"/>
      <c r="O1681" s="179"/>
      <c r="P1681" s="179"/>
      <c r="Q1681" s="179"/>
      <c r="R1681" s="179"/>
      <c r="S1681" s="180"/>
      <c r="T1681" s="180"/>
      <c r="U1681" s="170" t="s">
        <v>1665</v>
      </c>
      <c r="V1681" s="165">
        <v>466500000</v>
      </c>
      <c r="W1681" s="451">
        <v>250000000</v>
      </c>
      <c r="X1681" s="163"/>
      <c r="Y1681" s="163"/>
    </row>
    <row r="1682" spans="1:25">
      <c r="A1682" s="163"/>
      <c r="B1682" s="179"/>
      <c r="C1682" s="179"/>
      <c r="D1682" s="179"/>
      <c r="E1682" s="179"/>
      <c r="F1682" s="179"/>
      <c r="G1682" s="179"/>
      <c r="H1682" s="179"/>
      <c r="I1682" s="179"/>
      <c r="J1682" s="179"/>
      <c r="K1682" s="179"/>
      <c r="L1682" s="179"/>
      <c r="M1682" s="179"/>
      <c r="N1682" s="179"/>
      <c r="O1682" s="179"/>
      <c r="P1682" s="179"/>
      <c r="Q1682" s="179"/>
      <c r="R1682" s="179"/>
      <c r="S1682" s="180"/>
      <c r="T1682" s="180"/>
      <c r="U1682" s="170" t="s">
        <v>2178</v>
      </c>
      <c r="V1682" s="165"/>
      <c r="W1682" s="451">
        <v>100000000</v>
      </c>
      <c r="X1682" s="163"/>
      <c r="Y1682" s="163"/>
    </row>
    <row r="1683" spans="1:25" s="184" customFormat="1">
      <c r="A1683" s="181"/>
      <c r="B1683" s="182"/>
      <c r="C1683" s="182"/>
      <c r="D1683" s="182"/>
      <c r="E1683" s="182"/>
      <c r="F1683" s="182"/>
      <c r="G1683" s="182"/>
      <c r="H1683" s="182"/>
      <c r="I1683" s="182"/>
      <c r="J1683" s="182"/>
      <c r="K1683" s="182"/>
      <c r="L1683" s="182"/>
      <c r="M1683" s="182"/>
      <c r="N1683" s="182"/>
      <c r="O1683" s="182"/>
      <c r="P1683" s="182"/>
      <c r="Q1683" s="182"/>
      <c r="R1683" s="182"/>
      <c r="S1683" s="182"/>
      <c r="T1683" s="182"/>
      <c r="U1683" s="183"/>
      <c r="V1683" s="168">
        <f>SUM(V1663:V1682)</f>
        <v>1862502120</v>
      </c>
      <c r="W1683" s="334">
        <f t="shared" ref="W1683:Y1683" si="160">SUM(W1663:W1682)</f>
        <v>2508386000</v>
      </c>
      <c r="X1683" s="168">
        <f t="shared" si="160"/>
        <v>1988736000</v>
      </c>
      <c r="Y1683" s="168">
        <f t="shared" si="160"/>
        <v>1861148885</v>
      </c>
    </row>
    <row r="1685" spans="1:25">
      <c r="U1685" s="185" t="s">
        <v>1218</v>
      </c>
    </row>
    <row r="1686" spans="1:25" ht="25.5">
      <c r="U1686" s="190" t="s">
        <v>2132</v>
      </c>
    </row>
    <row r="1687" spans="1:25">
      <c r="U1687" s="144" t="s">
        <v>1219</v>
      </c>
      <c r="V1687" s="145">
        <v>417500000</v>
      </c>
    </row>
    <row r="1688" spans="1:25">
      <c r="U1688" s="144" t="s">
        <v>1220</v>
      </c>
      <c r="V1688" s="360">
        <v>417500000</v>
      </c>
    </row>
    <row r="1689" spans="1:25">
      <c r="V1689" s="262">
        <f>SUM(V1687:V1688)</f>
        <v>835000000</v>
      </c>
    </row>
    <row r="1691" spans="1:25">
      <c r="U1691" s="185" t="s">
        <v>2131</v>
      </c>
    </row>
    <row r="1692" spans="1:25">
      <c r="U1692" s="144" t="s">
        <v>1219</v>
      </c>
      <c r="V1692" s="262">
        <v>250000000</v>
      </c>
    </row>
    <row r="1694" spans="1:25" ht="26.25">
      <c r="A1694" s="187" t="s">
        <v>105</v>
      </c>
      <c r="B1694" s="187"/>
      <c r="C1694" s="187"/>
      <c r="D1694" s="187"/>
      <c r="E1694" s="187"/>
      <c r="F1694" s="187"/>
      <c r="G1694" s="187"/>
      <c r="H1694" s="187"/>
      <c r="I1694" s="187"/>
      <c r="J1694" s="187"/>
      <c r="K1694" s="187"/>
      <c r="L1694" s="187"/>
      <c r="M1694" s="187"/>
      <c r="N1694" s="187"/>
      <c r="O1694" s="187"/>
      <c r="P1694" s="187"/>
      <c r="Q1694" s="187"/>
      <c r="R1694" s="187"/>
      <c r="S1694" s="187"/>
      <c r="T1694" s="187"/>
      <c r="U1694" s="187"/>
      <c r="V1694" s="187"/>
      <c r="W1694" s="356"/>
      <c r="X1694" s="187"/>
      <c r="Y1694" s="187"/>
    </row>
    <row r="1695" spans="1:25">
      <c r="A1695" s="162"/>
      <c r="B1695" s="163"/>
      <c r="C1695" s="163"/>
      <c r="D1695" s="163"/>
      <c r="E1695" s="163"/>
      <c r="F1695" s="163"/>
      <c r="G1695" s="163"/>
      <c r="H1695" s="163"/>
      <c r="I1695" s="163"/>
      <c r="J1695" s="163"/>
      <c r="K1695" s="163"/>
      <c r="L1695" s="163"/>
      <c r="M1695" s="163"/>
      <c r="N1695" s="163"/>
      <c r="O1695" s="163"/>
      <c r="P1695" s="163"/>
      <c r="Q1695" s="163"/>
      <c r="R1695" s="163"/>
      <c r="S1695" s="163"/>
      <c r="T1695" s="163"/>
      <c r="U1695" s="178" t="s">
        <v>2196</v>
      </c>
      <c r="V1695" s="165">
        <v>8400000</v>
      </c>
      <c r="W1695" s="451">
        <v>0</v>
      </c>
      <c r="X1695" s="165">
        <v>37036000</v>
      </c>
      <c r="Y1695" s="165">
        <v>37036000</v>
      </c>
    </row>
    <row r="1696" spans="1:25">
      <c r="A1696" s="162"/>
      <c r="B1696" s="163"/>
      <c r="C1696" s="163"/>
      <c r="D1696" s="163"/>
      <c r="E1696" s="163"/>
      <c r="F1696" s="163"/>
      <c r="G1696" s="163"/>
      <c r="H1696" s="163"/>
      <c r="I1696" s="163"/>
      <c r="J1696" s="163"/>
      <c r="K1696" s="163"/>
      <c r="L1696" s="163"/>
      <c r="M1696" s="163"/>
      <c r="N1696" s="163"/>
      <c r="O1696" s="163"/>
      <c r="P1696" s="163"/>
      <c r="Q1696" s="163"/>
      <c r="R1696" s="163"/>
      <c r="S1696" s="163"/>
      <c r="T1696" s="163"/>
      <c r="U1696" s="178" t="s">
        <v>2197</v>
      </c>
      <c r="V1696" s="165">
        <v>11040000</v>
      </c>
      <c r="W1696" s="451">
        <v>0</v>
      </c>
      <c r="X1696" s="165">
        <v>20700000</v>
      </c>
      <c r="Y1696" s="165">
        <v>20700000</v>
      </c>
    </row>
    <row r="1697" spans="1:25">
      <c r="A1697" s="162"/>
      <c r="B1697" s="163"/>
      <c r="C1697" s="163"/>
      <c r="D1697" s="163"/>
      <c r="E1697" s="163"/>
      <c r="F1697" s="163"/>
      <c r="G1697" s="163"/>
      <c r="H1697" s="163"/>
      <c r="I1697" s="163"/>
      <c r="J1697" s="163"/>
      <c r="K1697" s="163"/>
      <c r="L1697" s="163"/>
      <c r="M1697" s="163"/>
      <c r="N1697" s="163"/>
      <c r="O1697" s="163"/>
      <c r="P1697" s="163"/>
      <c r="Q1697" s="163"/>
      <c r="R1697" s="163"/>
      <c r="S1697" s="163"/>
      <c r="T1697" s="163"/>
      <c r="U1697" s="178" t="s">
        <v>2198</v>
      </c>
      <c r="V1697" s="165"/>
      <c r="W1697" s="451">
        <v>0</v>
      </c>
      <c r="X1697" s="165">
        <v>30435002</v>
      </c>
      <c r="Y1697" s="165">
        <v>28840002</v>
      </c>
    </row>
    <row r="1698" spans="1:25">
      <c r="A1698" s="162"/>
      <c r="B1698" s="163"/>
      <c r="C1698" s="163"/>
      <c r="D1698" s="163"/>
      <c r="E1698" s="163"/>
      <c r="F1698" s="163"/>
      <c r="G1698" s="163"/>
      <c r="H1698" s="163"/>
      <c r="I1698" s="163"/>
      <c r="J1698" s="163"/>
      <c r="K1698" s="163"/>
      <c r="L1698" s="163"/>
      <c r="M1698" s="163"/>
      <c r="N1698" s="163"/>
      <c r="O1698" s="163"/>
      <c r="P1698" s="163"/>
      <c r="Q1698" s="163"/>
      <c r="R1698" s="163"/>
      <c r="S1698" s="163"/>
      <c r="T1698" s="163"/>
      <c r="U1698" s="178" t="s">
        <v>2199</v>
      </c>
      <c r="V1698" s="165"/>
      <c r="W1698" s="451">
        <v>31075000</v>
      </c>
      <c r="X1698" s="165">
        <v>28245000</v>
      </c>
      <c r="Y1698" s="165">
        <v>26830000</v>
      </c>
    </row>
    <row r="1699" spans="1:25">
      <c r="A1699" s="162"/>
      <c r="B1699" s="163"/>
      <c r="C1699" s="163"/>
      <c r="D1699" s="163"/>
      <c r="E1699" s="163"/>
      <c r="F1699" s="163"/>
      <c r="G1699" s="163"/>
      <c r="H1699" s="163"/>
      <c r="I1699" s="163"/>
      <c r="J1699" s="163"/>
      <c r="K1699" s="163"/>
      <c r="L1699" s="163"/>
      <c r="M1699" s="163"/>
      <c r="N1699" s="163"/>
      <c r="O1699" s="163"/>
      <c r="P1699" s="163"/>
      <c r="Q1699" s="163"/>
      <c r="R1699" s="163"/>
      <c r="S1699" s="163"/>
      <c r="T1699" s="163"/>
      <c r="U1699" s="178" t="s">
        <v>2200</v>
      </c>
      <c r="V1699" s="165">
        <v>24000000</v>
      </c>
      <c r="W1699" s="451">
        <v>0</v>
      </c>
      <c r="X1699" s="165">
        <v>30650000</v>
      </c>
      <c r="Y1699" s="165">
        <v>29100000</v>
      </c>
    </row>
    <row r="1700" spans="1:25">
      <c r="A1700" s="162"/>
      <c r="B1700" s="163"/>
      <c r="C1700" s="163"/>
      <c r="D1700" s="163"/>
      <c r="E1700" s="163"/>
      <c r="F1700" s="163"/>
      <c r="G1700" s="163"/>
      <c r="H1700" s="163"/>
      <c r="I1700" s="163"/>
      <c r="J1700" s="163"/>
      <c r="K1700" s="163"/>
      <c r="L1700" s="163"/>
      <c r="M1700" s="163"/>
      <c r="N1700" s="163"/>
      <c r="O1700" s="163"/>
      <c r="P1700" s="163"/>
      <c r="Q1700" s="163"/>
      <c r="R1700" s="163"/>
      <c r="S1700" s="163"/>
      <c r="T1700" s="163"/>
      <c r="U1700" s="178" t="s">
        <v>2594</v>
      </c>
      <c r="V1700" s="165"/>
      <c r="W1700" s="451">
        <v>0</v>
      </c>
      <c r="X1700" s="165">
        <v>0</v>
      </c>
      <c r="Y1700" s="165">
        <v>0</v>
      </c>
    </row>
    <row r="1701" spans="1:25">
      <c r="A1701" s="162"/>
      <c r="B1701" s="163"/>
      <c r="C1701" s="163"/>
      <c r="D1701" s="163"/>
      <c r="E1701" s="163"/>
      <c r="F1701" s="163"/>
      <c r="G1701" s="163"/>
      <c r="H1701" s="163"/>
      <c r="I1701" s="163"/>
      <c r="J1701" s="163"/>
      <c r="K1701" s="163"/>
      <c r="L1701" s="163"/>
      <c r="M1701" s="163"/>
      <c r="N1701" s="163"/>
      <c r="O1701" s="163"/>
      <c r="P1701" s="163"/>
      <c r="Q1701" s="163"/>
      <c r="R1701" s="163"/>
      <c r="S1701" s="163"/>
      <c r="T1701" s="163"/>
      <c r="U1701" s="178" t="s">
        <v>2201</v>
      </c>
      <c r="V1701" s="165"/>
      <c r="W1701" s="451">
        <v>0</v>
      </c>
      <c r="X1701" s="165">
        <v>37190000</v>
      </c>
      <c r="Y1701" s="165">
        <v>35360000</v>
      </c>
    </row>
    <row r="1702" spans="1:25">
      <c r="A1702" s="162"/>
      <c r="B1702" s="163"/>
      <c r="C1702" s="163"/>
      <c r="D1702" s="163"/>
      <c r="E1702" s="163"/>
      <c r="F1702" s="163"/>
      <c r="G1702" s="163"/>
      <c r="H1702" s="163"/>
      <c r="I1702" s="163"/>
      <c r="J1702" s="163"/>
      <c r="K1702" s="163"/>
      <c r="L1702" s="163"/>
      <c r="M1702" s="163"/>
      <c r="N1702" s="163"/>
      <c r="O1702" s="163"/>
      <c r="P1702" s="163"/>
      <c r="Q1702" s="163"/>
      <c r="R1702" s="163"/>
      <c r="S1702" s="163"/>
      <c r="T1702" s="163"/>
      <c r="U1702" s="178" t="s">
        <v>2202</v>
      </c>
      <c r="V1702" s="165"/>
      <c r="W1702" s="451">
        <v>2512000</v>
      </c>
      <c r="X1702" s="165">
        <v>2512000</v>
      </c>
      <c r="Y1702" s="165">
        <v>2512000</v>
      </c>
    </row>
    <row r="1703" spans="1:25">
      <c r="A1703" s="162"/>
      <c r="B1703" s="163"/>
      <c r="C1703" s="163"/>
      <c r="D1703" s="163"/>
      <c r="E1703" s="163"/>
      <c r="F1703" s="163"/>
      <c r="G1703" s="163"/>
      <c r="H1703" s="163"/>
      <c r="I1703" s="163"/>
      <c r="J1703" s="163"/>
      <c r="K1703" s="163"/>
      <c r="L1703" s="163"/>
      <c r="M1703" s="163"/>
      <c r="N1703" s="163"/>
      <c r="O1703" s="163"/>
      <c r="P1703" s="163"/>
      <c r="Q1703" s="163"/>
      <c r="R1703" s="163"/>
      <c r="S1703" s="163"/>
      <c r="T1703" s="163"/>
      <c r="U1703" s="178" t="s">
        <v>2203</v>
      </c>
      <c r="V1703" s="165"/>
      <c r="W1703" s="451">
        <v>0</v>
      </c>
      <c r="X1703" s="165">
        <v>5000000</v>
      </c>
      <c r="Y1703" s="165">
        <v>4810000</v>
      </c>
    </row>
    <row r="1704" spans="1:25" ht="25.5">
      <c r="A1704" s="162"/>
      <c r="B1704" s="163"/>
      <c r="C1704" s="163"/>
      <c r="D1704" s="163"/>
      <c r="E1704" s="163"/>
      <c r="F1704" s="163"/>
      <c r="G1704" s="163"/>
      <c r="H1704" s="163"/>
      <c r="I1704" s="163"/>
      <c r="J1704" s="163"/>
      <c r="K1704" s="163"/>
      <c r="L1704" s="163"/>
      <c r="M1704" s="163"/>
      <c r="N1704" s="163"/>
      <c r="O1704" s="163"/>
      <c r="P1704" s="163"/>
      <c r="Q1704" s="163"/>
      <c r="R1704" s="163"/>
      <c r="S1704" s="163"/>
      <c r="T1704" s="163"/>
      <c r="U1704" s="178" t="s">
        <v>2204</v>
      </c>
      <c r="V1704" s="165"/>
      <c r="W1704" s="451">
        <v>15000000</v>
      </c>
      <c r="X1704" s="165">
        <v>15000000</v>
      </c>
      <c r="Y1704" s="165">
        <v>15000000</v>
      </c>
    </row>
    <row r="1705" spans="1:25">
      <c r="A1705" s="162"/>
      <c r="B1705" s="163"/>
      <c r="C1705" s="163"/>
      <c r="D1705" s="163"/>
      <c r="E1705" s="163"/>
      <c r="F1705" s="163"/>
      <c r="G1705" s="163"/>
      <c r="H1705" s="163"/>
      <c r="I1705" s="163"/>
      <c r="J1705" s="163"/>
      <c r="K1705" s="163"/>
      <c r="L1705" s="163"/>
      <c r="M1705" s="163"/>
      <c r="N1705" s="163"/>
      <c r="O1705" s="163"/>
      <c r="P1705" s="163"/>
      <c r="Q1705" s="163"/>
      <c r="R1705" s="163"/>
      <c r="S1705" s="163"/>
      <c r="T1705" s="163"/>
      <c r="U1705" s="178" t="s">
        <v>2595</v>
      </c>
      <c r="V1705" s="165"/>
      <c r="W1705" s="451">
        <v>0</v>
      </c>
      <c r="X1705" s="165">
        <v>2800000</v>
      </c>
      <c r="Y1705" s="165">
        <v>2800000</v>
      </c>
    </row>
    <row r="1706" spans="1:25">
      <c r="A1706" s="162"/>
      <c r="B1706" s="163"/>
      <c r="C1706" s="163"/>
      <c r="D1706" s="163"/>
      <c r="E1706" s="163"/>
      <c r="F1706" s="163"/>
      <c r="G1706" s="163"/>
      <c r="H1706" s="163"/>
      <c r="I1706" s="163"/>
      <c r="J1706" s="163"/>
      <c r="K1706" s="163"/>
      <c r="L1706" s="163"/>
      <c r="M1706" s="163"/>
      <c r="N1706" s="163"/>
      <c r="O1706" s="163"/>
      <c r="P1706" s="163"/>
      <c r="Q1706" s="163"/>
      <c r="R1706" s="163"/>
      <c r="S1706" s="163"/>
      <c r="T1706" s="163"/>
      <c r="U1706" s="178" t="s">
        <v>2205</v>
      </c>
      <c r="V1706" s="165"/>
      <c r="W1706" s="451">
        <v>250000000</v>
      </c>
      <c r="X1706" s="349">
        <v>250000000</v>
      </c>
      <c r="Y1706" s="349">
        <v>250000000</v>
      </c>
    </row>
    <row r="1707" spans="1:25">
      <c r="A1707" s="162"/>
      <c r="B1707" s="163"/>
      <c r="C1707" s="163"/>
      <c r="D1707" s="163"/>
      <c r="E1707" s="163"/>
      <c r="F1707" s="163"/>
      <c r="G1707" s="163"/>
      <c r="H1707" s="163"/>
      <c r="I1707" s="163"/>
      <c r="J1707" s="163"/>
      <c r="K1707" s="163"/>
      <c r="L1707" s="163"/>
      <c r="M1707" s="163"/>
      <c r="N1707" s="163"/>
      <c r="O1707" s="163"/>
      <c r="P1707" s="163"/>
      <c r="Q1707" s="163"/>
      <c r="R1707" s="163"/>
      <c r="S1707" s="163"/>
      <c r="T1707" s="163"/>
      <c r="U1707" s="178" t="s">
        <v>2206</v>
      </c>
      <c r="V1707" s="165"/>
      <c r="W1707" s="451">
        <v>0</v>
      </c>
      <c r="X1707" s="165">
        <v>2760000</v>
      </c>
      <c r="Y1707" s="165">
        <v>2760000</v>
      </c>
    </row>
    <row r="1708" spans="1:25" ht="25.5">
      <c r="A1708" s="162"/>
      <c r="B1708" s="163"/>
      <c r="C1708" s="163"/>
      <c r="D1708" s="163"/>
      <c r="E1708" s="163"/>
      <c r="F1708" s="163"/>
      <c r="G1708" s="163"/>
      <c r="H1708" s="163"/>
      <c r="I1708" s="163"/>
      <c r="J1708" s="163"/>
      <c r="K1708" s="163"/>
      <c r="L1708" s="163"/>
      <c r="M1708" s="163"/>
      <c r="N1708" s="163"/>
      <c r="O1708" s="163"/>
      <c r="P1708" s="163"/>
      <c r="Q1708" s="163"/>
      <c r="R1708" s="163"/>
      <c r="S1708" s="163"/>
      <c r="T1708" s="163"/>
      <c r="U1708" s="178" t="s">
        <v>2596</v>
      </c>
      <c r="V1708" s="165"/>
      <c r="W1708" s="451">
        <v>8000000</v>
      </c>
      <c r="X1708" s="165">
        <v>8000000</v>
      </c>
      <c r="Y1708" s="165">
        <v>8000000</v>
      </c>
    </row>
    <row r="1709" spans="1:25">
      <c r="A1709" s="162"/>
      <c r="B1709" s="163"/>
      <c r="C1709" s="163"/>
      <c r="D1709" s="163"/>
      <c r="E1709" s="163"/>
      <c r="F1709" s="163"/>
      <c r="G1709" s="163"/>
      <c r="H1709" s="163"/>
      <c r="I1709" s="163"/>
      <c r="J1709" s="163"/>
      <c r="K1709" s="163"/>
      <c r="L1709" s="163"/>
      <c r="M1709" s="163"/>
      <c r="N1709" s="163"/>
      <c r="O1709" s="163"/>
      <c r="P1709" s="163"/>
      <c r="Q1709" s="163"/>
      <c r="R1709" s="163"/>
      <c r="S1709" s="163"/>
      <c r="T1709" s="163"/>
      <c r="U1709" s="178" t="s">
        <v>2157</v>
      </c>
      <c r="V1709" s="165">
        <v>50000000</v>
      </c>
      <c r="W1709" s="451">
        <v>0</v>
      </c>
      <c r="X1709" s="165"/>
      <c r="Y1709" s="165"/>
    </row>
    <row r="1710" spans="1:25">
      <c r="A1710" s="162"/>
      <c r="B1710" s="163"/>
      <c r="C1710" s="163"/>
      <c r="D1710" s="163"/>
      <c r="E1710" s="163"/>
      <c r="F1710" s="163"/>
      <c r="G1710" s="163"/>
      <c r="H1710" s="163"/>
      <c r="I1710" s="163"/>
      <c r="J1710" s="163"/>
      <c r="K1710" s="163"/>
      <c r="L1710" s="163"/>
      <c r="M1710" s="163"/>
      <c r="N1710" s="163"/>
      <c r="O1710" s="163"/>
      <c r="P1710" s="163"/>
      <c r="Q1710" s="163"/>
      <c r="R1710" s="163"/>
      <c r="S1710" s="163"/>
      <c r="T1710" s="163"/>
      <c r="U1710" s="178" t="s">
        <v>1666</v>
      </c>
      <c r="V1710" s="165">
        <v>200000000</v>
      </c>
      <c r="W1710" s="451">
        <v>400000002</v>
      </c>
      <c r="X1710" s="165">
        <v>195225000</v>
      </c>
      <c r="Y1710" s="165">
        <v>192400000</v>
      </c>
    </row>
    <row r="1711" spans="1:25" s="184" customFormat="1">
      <c r="A1711" s="181"/>
      <c r="B1711" s="182"/>
      <c r="C1711" s="182"/>
      <c r="D1711" s="182"/>
      <c r="E1711" s="182"/>
      <c r="F1711" s="182"/>
      <c r="G1711" s="182"/>
      <c r="H1711" s="182"/>
      <c r="I1711" s="182"/>
      <c r="J1711" s="182"/>
      <c r="K1711" s="182"/>
      <c r="L1711" s="182"/>
      <c r="M1711" s="182"/>
      <c r="N1711" s="182"/>
      <c r="O1711" s="182"/>
      <c r="P1711" s="182"/>
      <c r="Q1711" s="182"/>
      <c r="R1711" s="182"/>
      <c r="S1711" s="182"/>
      <c r="T1711" s="182"/>
      <c r="U1711" s="183"/>
      <c r="V1711" s="168">
        <f t="shared" ref="V1711:Y1711" si="161">SUM(V1695:V1710)</f>
        <v>293440000</v>
      </c>
      <c r="W1711" s="334">
        <f t="shared" si="161"/>
        <v>706587002</v>
      </c>
      <c r="X1711" s="168">
        <f t="shared" si="161"/>
        <v>665553002</v>
      </c>
      <c r="Y1711" s="168">
        <f t="shared" si="161"/>
        <v>656148002</v>
      </c>
    </row>
    <row r="1713" spans="1:25">
      <c r="U1713" s="190" t="s">
        <v>1218</v>
      </c>
    </row>
    <row r="1714" spans="1:25">
      <c r="U1714" s="144" t="s">
        <v>2181</v>
      </c>
      <c r="V1714" s="262">
        <v>706587002</v>
      </c>
    </row>
    <row r="1718" spans="1:25" ht="26.25">
      <c r="A1718" s="187" t="s">
        <v>104</v>
      </c>
      <c r="B1718" s="187"/>
      <c r="C1718" s="187"/>
      <c r="D1718" s="187"/>
      <c r="E1718" s="187"/>
      <c r="F1718" s="187"/>
      <c r="G1718" s="187"/>
      <c r="H1718" s="187"/>
      <c r="I1718" s="187"/>
      <c r="J1718" s="187"/>
      <c r="K1718" s="187"/>
      <c r="L1718" s="187"/>
      <c r="M1718" s="187"/>
      <c r="N1718" s="187"/>
      <c r="O1718" s="187"/>
      <c r="P1718" s="187"/>
      <c r="Q1718" s="187"/>
      <c r="R1718" s="187"/>
      <c r="S1718" s="187"/>
      <c r="T1718" s="187"/>
      <c r="U1718" s="187"/>
      <c r="V1718" s="187"/>
      <c r="W1718" s="356"/>
      <c r="X1718" s="187"/>
      <c r="Y1718" s="187"/>
    </row>
    <row r="1719" spans="1:25">
      <c r="A1719" s="162"/>
      <c r="B1719" s="163"/>
      <c r="C1719" s="163"/>
      <c r="D1719" s="163"/>
      <c r="E1719" s="163"/>
      <c r="F1719" s="163"/>
      <c r="G1719" s="163"/>
      <c r="H1719" s="163"/>
      <c r="I1719" s="163"/>
      <c r="J1719" s="163"/>
      <c r="K1719" s="163"/>
      <c r="L1719" s="163"/>
      <c r="M1719" s="163"/>
      <c r="N1719" s="163"/>
      <c r="O1719" s="163"/>
      <c r="P1719" s="163"/>
      <c r="Q1719" s="163"/>
      <c r="R1719" s="163"/>
      <c r="S1719" s="163"/>
      <c r="T1719" s="163"/>
      <c r="U1719" s="178" t="s">
        <v>1667</v>
      </c>
      <c r="V1719" s="165">
        <v>50000000</v>
      </c>
      <c r="W1719" s="451">
        <v>35700000</v>
      </c>
      <c r="X1719" s="165">
        <v>35700000</v>
      </c>
      <c r="Y1719" s="165">
        <v>35700000</v>
      </c>
    </row>
    <row r="1720" spans="1:25">
      <c r="A1720" s="162"/>
      <c r="B1720" s="163"/>
      <c r="C1720" s="163"/>
      <c r="D1720" s="163"/>
      <c r="E1720" s="163"/>
      <c r="F1720" s="163"/>
      <c r="G1720" s="163"/>
      <c r="H1720" s="163"/>
      <c r="I1720" s="163"/>
      <c r="J1720" s="163"/>
      <c r="K1720" s="163"/>
      <c r="L1720" s="163"/>
      <c r="M1720" s="163"/>
      <c r="N1720" s="163"/>
      <c r="O1720" s="163"/>
      <c r="P1720" s="163"/>
      <c r="Q1720" s="163"/>
      <c r="R1720" s="163"/>
      <c r="S1720" s="163"/>
      <c r="T1720" s="163"/>
      <c r="U1720" s="178" t="s">
        <v>2034</v>
      </c>
      <c r="V1720" s="165"/>
      <c r="W1720" s="451">
        <v>4358850</v>
      </c>
      <c r="X1720" s="165">
        <v>23850</v>
      </c>
      <c r="Y1720" s="165">
        <v>23850</v>
      </c>
    </row>
    <row r="1721" spans="1:25">
      <c r="A1721" s="162"/>
      <c r="B1721" s="163"/>
      <c r="C1721" s="163"/>
      <c r="D1721" s="163"/>
      <c r="E1721" s="163"/>
      <c r="F1721" s="163"/>
      <c r="G1721" s="163"/>
      <c r="H1721" s="163"/>
      <c r="I1721" s="163"/>
      <c r="J1721" s="163"/>
      <c r="K1721" s="163"/>
      <c r="L1721" s="163"/>
      <c r="M1721" s="163"/>
      <c r="N1721" s="163"/>
      <c r="O1721" s="163"/>
      <c r="P1721" s="163"/>
      <c r="Q1721" s="163"/>
      <c r="R1721" s="163"/>
      <c r="S1721" s="163"/>
      <c r="T1721" s="163"/>
      <c r="U1721" s="178" t="s">
        <v>1668</v>
      </c>
      <c r="V1721" s="165">
        <v>9550000</v>
      </c>
      <c r="W1721" s="451">
        <v>50000000</v>
      </c>
      <c r="X1721" s="165">
        <v>4908000</v>
      </c>
      <c r="Y1721" s="165">
        <v>4908000</v>
      </c>
    </row>
    <row r="1722" spans="1:25">
      <c r="A1722" s="162"/>
      <c r="B1722" s="163"/>
      <c r="C1722" s="163"/>
      <c r="D1722" s="163"/>
      <c r="E1722" s="163"/>
      <c r="F1722" s="163"/>
      <c r="G1722" s="163"/>
      <c r="H1722" s="163"/>
      <c r="I1722" s="163"/>
      <c r="J1722" s="163"/>
      <c r="K1722" s="163"/>
      <c r="L1722" s="163"/>
      <c r="M1722" s="163"/>
      <c r="N1722" s="163"/>
      <c r="O1722" s="163"/>
      <c r="P1722" s="163"/>
      <c r="Q1722" s="163"/>
      <c r="R1722" s="163"/>
      <c r="S1722" s="163"/>
      <c r="T1722" s="163"/>
      <c r="U1722" s="178" t="s">
        <v>1669</v>
      </c>
      <c r="V1722" s="165"/>
      <c r="W1722" s="451">
        <v>12000000</v>
      </c>
      <c r="X1722" s="165">
        <v>12000000</v>
      </c>
      <c r="Y1722" s="165">
        <v>12000000</v>
      </c>
    </row>
    <row r="1723" spans="1:25" ht="25.5">
      <c r="A1723" s="162"/>
      <c r="B1723" s="163"/>
      <c r="C1723" s="163"/>
      <c r="D1723" s="163"/>
      <c r="E1723" s="163"/>
      <c r="F1723" s="163"/>
      <c r="G1723" s="163"/>
      <c r="H1723" s="163"/>
      <c r="I1723" s="163"/>
      <c r="J1723" s="163"/>
      <c r="K1723" s="163"/>
      <c r="L1723" s="163"/>
      <c r="M1723" s="163"/>
      <c r="N1723" s="163"/>
      <c r="O1723" s="163"/>
      <c r="P1723" s="163"/>
      <c r="Q1723" s="163"/>
      <c r="R1723" s="163"/>
      <c r="S1723" s="163"/>
      <c r="T1723" s="163"/>
      <c r="U1723" s="178" t="s">
        <v>2035</v>
      </c>
      <c r="V1723" s="165"/>
      <c r="W1723" s="451">
        <v>2200000</v>
      </c>
      <c r="X1723" s="165">
        <v>0</v>
      </c>
      <c r="Y1723" s="165">
        <v>0</v>
      </c>
    </row>
    <row r="1724" spans="1:25">
      <c r="A1724" s="162"/>
      <c r="B1724" s="163"/>
      <c r="C1724" s="163"/>
      <c r="D1724" s="163"/>
      <c r="E1724" s="163"/>
      <c r="F1724" s="163"/>
      <c r="G1724" s="163"/>
      <c r="H1724" s="163"/>
      <c r="I1724" s="163"/>
      <c r="J1724" s="163"/>
      <c r="K1724" s="163"/>
      <c r="L1724" s="163"/>
      <c r="M1724" s="163"/>
      <c r="N1724" s="163"/>
      <c r="O1724" s="163"/>
      <c r="P1724" s="163"/>
      <c r="Q1724" s="163"/>
      <c r="R1724" s="163"/>
      <c r="S1724" s="163"/>
      <c r="T1724" s="163"/>
      <c r="U1724" s="178" t="s">
        <v>2036</v>
      </c>
      <c r="V1724" s="165"/>
      <c r="W1724" s="451">
        <v>13500000</v>
      </c>
      <c r="X1724" s="165">
        <v>13500000</v>
      </c>
      <c r="Y1724" s="165">
        <v>13500000</v>
      </c>
    </row>
    <row r="1725" spans="1:25">
      <c r="A1725" s="162"/>
      <c r="B1725" s="163"/>
      <c r="C1725" s="163"/>
      <c r="D1725" s="163"/>
      <c r="E1725" s="163"/>
      <c r="F1725" s="163"/>
      <c r="G1725" s="163"/>
      <c r="H1725" s="163"/>
      <c r="I1725" s="163"/>
      <c r="J1725" s="163"/>
      <c r="K1725" s="163"/>
      <c r="L1725" s="163"/>
      <c r="M1725" s="163"/>
      <c r="N1725" s="163"/>
      <c r="O1725" s="163"/>
      <c r="P1725" s="163"/>
      <c r="Q1725" s="163"/>
      <c r="R1725" s="163"/>
      <c r="S1725" s="163"/>
      <c r="T1725" s="163"/>
      <c r="U1725" s="178" t="s">
        <v>2037</v>
      </c>
      <c r="V1725" s="165">
        <v>48000000</v>
      </c>
      <c r="W1725" s="451">
        <v>1300000</v>
      </c>
      <c r="X1725" s="165">
        <v>1300000</v>
      </c>
      <c r="Y1725" s="165">
        <v>1300000</v>
      </c>
    </row>
    <row r="1726" spans="1:25">
      <c r="A1726" s="162"/>
      <c r="B1726" s="163"/>
      <c r="C1726" s="163"/>
      <c r="D1726" s="163"/>
      <c r="E1726" s="163"/>
      <c r="F1726" s="163"/>
      <c r="G1726" s="163"/>
      <c r="H1726" s="163"/>
      <c r="I1726" s="163"/>
      <c r="J1726" s="163"/>
      <c r="K1726" s="163"/>
      <c r="L1726" s="163"/>
      <c r="M1726" s="163"/>
      <c r="N1726" s="163"/>
      <c r="O1726" s="163"/>
      <c r="P1726" s="163"/>
      <c r="Q1726" s="163"/>
      <c r="R1726" s="163"/>
      <c r="S1726" s="163"/>
      <c r="T1726" s="163"/>
      <c r="U1726" s="178" t="s">
        <v>2192</v>
      </c>
      <c r="V1726" s="165"/>
      <c r="W1726" s="451">
        <v>54000000</v>
      </c>
      <c r="X1726" s="165">
        <v>54000000</v>
      </c>
      <c r="Y1726" s="165">
        <v>54000000</v>
      </c>
    </row>
    <row r="1727" spans="1:25">
      <c r="A1727" s="162"/>
      <c r="B1727" s="163"/>
      <c r="C1727" s="163"/>
      <c r="D1727" s="163"/>
      <c r="E1727" s="163"/>
      <c r="F1727" s="163"/>
      <c r="G1727" s="163"/>
      <c r="H1727" s="163"/>
      <c r="I1727" s="163"/>
      <c r="J1727" s="163"/>
      <c r="K1727" s="163"/>
      <c r="L1727" s="163"/>
      <c r="M1727" s="163"/>
      <c r="N1727" s="163"/>
      <c r="O1727" s="163"/>
      <c r="P1727" s="163"/>
      <c r="Q1727" s="163"/>
      <c r="R1727" s="163"/>
      <c r="S1727" s="163"/>
      <c r="T1727" s="163"/>
      <c r="U1727" s="178" t="s">
        <v>2038</v>
      </c>
      <c r="V1727" s="165"/>
      <c r="W1727" s="451">
        <v>10000000</v>
      </c>
      <c r="X1727" s="165">
        <v>0</v>
      </c>
      <c r="Y1727" s="165">
        <v>0</v>
      </c>
    </row>
    <row r="1728" spans="1:25" ht="25.5">
      <c r="A1728" s="162"/>
      <c r="B1728" s="163"/>
      <c r="C1728" s="163"/>
      <c r="D1728" s="163"/>
      <c r="E1728" s="163"/>
      <c r="F1728" s="163"/>
      <c r="G1728" s="163"/>
      <c r="H1728" s="163"/>
      <c r="I1728" s="163"/>
      <c r="J1728" s="163"/>
      <c r="K1728" s="163"/>
      <c r="L1728" s="163"/>
      <c r="M1728" s="163"/>
      <c r="N1728" s="163"/>
      <c r="O1728" s="163"/>
      <c r="P1728" s="163"/>
      <c r="Q1728" s="163"/>
      <c r="R1728" s="163"/>
      <c r="S1728" s="163"/>
      <c r="T1728" s="163"/>
      <c r="U1728" s="178" t="s">
        <v>2039</v>
      </c>
      <c r="V1728" s="165"/>
      <c r="W1728" s="451">
        <v>4128000</v>
      </c>
      <c r="X1728" s="165">
        <v>2064000</v>
      </c>
      <c r="Y1728" s="165">
        <v>2064000</v>
      </c>
    </row>
    <row r="1729" spans="1:25">
      <c r="A1729" s="162"/>
      <c r="B1729" s="163"/>
      <c r="C1729" s="163"/>
      <c r="D1729" s="163"/>
      <c r="E1729" s="163"/>
      <c r="F1729" s="163"/>
      <c r="G1729" s="163"/>
      <c r="H1729" s="163"/>
      <c r="I1729" s="163"/>
      <c r="J1729" s="163"/>
      <c r="K1729" s="163"/>
      <c r="L1729" s="163"/>
      <c r="M1729" s="163"/>
      <c r="N1729" s="163"/>
      <c r="O1729" s="163"/>
      <c r="P1729" s="163"/>
      <c r="Q1729" s="163"/>
      <c r="R1729" s="163"/>
      <c r="S1729" s="163"/>
      <c r="T1729" s="163"/>
      <c r="U1729" s="178" t="s">
        <v>2040</v>
      </c>
      <c r="V1729" s="165"/>
      <c r="W1729" s="451">
        <v>2824000</v>
      </c>
      <c r="X1729" s="165">
        <v>2824000</v>
      </c>
      <c r="Y1729" s="165">
        <v>2824000</v>
      </c>
    </row>
    <row r="1730" spans="1:25">
      <c r="A1730" s="162"/>
      <c r="B1730" s="163"/>
      <c r="C1730" s="163"/>
      <c r="D1730" s="163"/>
      <c r="E1730" s="163"/>
      <c r="F1730" s="163"/>
      <c r="G1730" s="163"/>
      <c r="H1730" s="163"/>
      <c r="I1730" s="163"/>
      <c r="J1730" s="163"/>
      <c r="K1730" s="163"/>
      <c r="L1730" s="163"/>
      <c r="M1730" s="163"/>
      <c r="N1730" s="163"/>
      <c r="O1730" s="163"/>
      <c r="P1730" s="163"/>
      <c r="Q1730" s="163"/>
      <c r="R1730" s="163"/>
      <c r="S1730" s="163"/>
      <c r="T1730" s="163"/>
      <c r="U1730" s="178" t="s">
        <v>2190</v>
      </c>
      <c r="V1730" s="165"/>
      <c r="W1730" s="451">
        <v>8725000</v>
      </c>
      <c r="X1730" s="165">
        <v>8725000</v>
      </c>
      <c r="Y1730" s="165">
        <v>8725000</v>
      </c>
    </row>
    <row r="1731" spans="1:25" ht="25.5">
      <c r="A1731" s="162"/>
      <c r="B1731" s="163"/>
      <c r="C1731" s="163"/>
      <c r="D1731" s="163"/>
      <c r="E1731" s="163"/>
      <c r="F1731" s="163"/>
      <c r="G1731" s="163"/>
      <c r="H1731" s="163"/>
      <c r="I1731" s="163"/>
      <c r="J1731" s="163"/>
      <c r="K1731" s="163"/>
      <c r="L1731" s="163"/>
      <c r="M1731" s="163"/>
      <c r="N1731" s="163"/>
      <c r="O1731" s="163"/>
      <c r="P1731" s="163"/>
      <c r="Q1731" s="163"/>
      <c r="R1731" s="163"/>
      <c r="S1731" s="163"/>
      <c r="T1731" s="163"/>
      <c r="U1731" s="178" t="s">
        <v>2191</v>
      </c>
      <c r="V1731" s="165"/>
      <c r="W1731" s="451">
        <v>6800000</v>
      </c>
      <c r="X1731" s="165">
        <v>3400000</v>
      </c>
      <c r="Y1731" s="165">
        <v>3400000</v>
      </c>
    </row>
    <row r="1732" spans="1:25">
      <c r="A1732" s="162"/>
      <c r="B1732" s="163"/>
      <c r="C1732" s="163"/>
      <c r="D1732" s="163"/>
      <c r="E1732" s="163"/>
      <c r="F1732" s="163"/>
      <c r="G1732" s="163"/>
      <c r="H1732" s="163"/>
      <c r="I1732" s="163"/>
      <c r="J1732" s="163"/>
      <c r="K1732" s="163"/>
      <c r="L1732" s="163"/>
      <c r="M1732" s="163"/>
      <c r="N1732" s="163"/>
      <c r="O1732" s="163"/>
      <c r="P1732" s="163"/>
      <c r="Q1732" s="163"/>
      <c r="R1732" s="163"/>
      <c r="S1732" s="163"/>
      <c r="T1732" s="163"/>
      <c r="U1732" s="178" t="s">
        <v>2041</v>
      </c>
      <c r="V1732" s="165"/>
      <c r="W1732" s="451">
        <v>4300000</v>
      </c>
      <c r="X1732" s="165">
        <v>4300000</v>
      </c>
      <c r="Y1732" s="165">
        <v>4300000</v>
      </c>
    </row>
    <row r="1733" spans="1:25">
      <c r="A1733" s="162"/>
      <c r="B1733" s="163"/>
      <c r="C1733" s="180"/>
      <c r="D1733" s="207"/>
      <c r="E1733" s="207"/>
      <c r="F1733" s="207"/>
      <c r="G1733" s="207"/>
      <c r="H1733" s="207"/>
      <c r="I1733" s="207"/>
      <c r="J1733" s="207"/>
      <c r="K1733" s="207"/>
      <c r="L1733" s="207"/>
      <c r="M1733" s="207"/>
      <c r="N1733" s="207"/>
      <c r="O1733" s="207"/>
      <c r="P1733" s="207"/>
      <c r="Q1733" s="207"/>
      <c r="R1733" s="207"/>
      <c r="S1733" s="207"/>
      <c r="T1733" s="207"/>
      <c r="U1733" s="178" t="s">
        <v>2042</v>
      </c>
      <c r="V1733" s="165">
        <v>235000</v>
      </c>
      <c r="W1733" s="451">
        <v>0</v>
      </c>
      <c r="X1733" s="165"/>
      <c r="Y1733" s="165"/>
    </row>
    <row r="1734" spans="1:25">
      <c r="A1734" s="162"/>
      <c r="B1734" s="163"/>
      <c r="C1734" s="180"/>
      <c r="D1734" s="207"/>
      <c r="E1734" s="207"/>
      <c r="F1734" s="207"/>
      <c r="G1734" s="207"/>
      <c r="H1734" s="207"/>
      <c r="I1734" s="207"/>
      <c r="J1734" s="207"/>
      <c r="K1734" s="207"/>
      <c r="L1734" s="207"/>
      <c r="M1734" s="207"/>
      <c r="N1734" s="207"/>
      <c r="O1734" s="207"/>
      <c r="P1734" s="207"/>
      <c r="Q1734" s="207"/>
      <c r="R1734" s="207"/>
      <c r="S1734" s="207"/>
      <c r="T1734" s="207"/>
      <c r="U1734" s="178" t="s">
        <v>1670</v>
      </c>
      <c r="V1734" s="165">
        <v>12000000</v>
      </c>
      <c r="W1734" s="451">
        <v>0</v>
      </c>
      <c r="X1734" s="165"/>
      <c r="Y1734" s="165"/>
    </row>
    <row r="1735" spans="1:25">
      <c r="A1735" s="162"/>
      <c r="B1735" s="163"/>
      <c r="C1735" s="180"/>
      <c r="D1735" s="207"/>
      <c r="E1735" s="207"/>
      <c r="F1735" s="207"/>
      <c r="G1735" s="207"/>
      <c r="H1735" s="207"/>
      <c r="I1735" s="207"/>
      <c r="J1735" s="207"/>
      <c r="K1735" s="207"/>
      <c r="L1735" s="207"/>
      <c r="M1735" s="207"/>
      <c r="N1735" s="207"/>
      <c r="O1735" s="207"/>
      <c r="P1735" s="207"/>
      <c r="Q1735" s="207"/>
      <c r="R1735" s="207"/>
      <c r="S1735" s="207"/>
      <c r="T1735" s="207"/>
      <c r="U1735" s="178" t="s">
        <v>2126</v>
      </c>
      <c r="V1735" s="165"/>
      <c r="W1735" s="451">
        <v>0</v>
      </c>
      <c r="X1735" s="165">
        <v>8000000</v>
      </c>
      <c r="Y1735" s="165">
        <v>10000000</v>
      </c>
    </row>
    <row r="1736" spans="1:25">
      <c r="A1736" s="162"/>
      <c r="B1736" s="163"/>
      <c r="C1736" s="180"/>
      <c r="D1736" s="207"/>
      <c r="E1736" s="207"/>
      <c r="F1736" s="207"/>
      <c r="G1736" s="207"/>
      <c r="H1736" s="207"/>
      <c r="I1736" s="207"/>
      <c r="J1736" s="207"/>
      <c r="K1736" s="207"/>
      <c r="L1736" s="207"/>
      <c r="M1736" s="207"/>
      <c r="N1736" s="207"/>
      <c r="O1736" s="207"/>
      <c r="P1736" s="207"/>
      <c r="Q1736" s="207"/>
      <c r="R1736" s="207"/>
      <c r="S1736" s="207"/>
      <c r="T1736" s="207"/>
      <c r="U1736" s="178" t="s">
        <v>2127</v>
      </c>
      <c r="V1736" s="165"/>
      <c r="W1736" s="451">
        <v>0</v>
      </c>
      <c r="X1736" s="165">
        <v>4000000</v>
      </c>
      <c r="Y1736" s="165">
        <v>4400000</v>
      </c>
    </row>
    <row r="1737" spans="1:25" ht="25.5">
      <c r="A1737" s="162"/>
      <c r="B1737" s="163"/>
      <c r="C1737" s="180"/>
      <c r="D1737" s="207"/>
      <c r="E1737" s="207"/>
      <c r="F1737" s="207"/>
      <c r="G1737" s="207"/>
      <c r="H1737" s="207"/>
      <c r="I1737" s="207"/>
      <c r="J1737" s="207"/>
      <c r="K1737" s="207"/>
      <c r="L1737" s="207"/>
      <c r="M1737" s="207"/>
      <c r="N1737" s="207"/>
      <c r="O1737" s="207"/>
      <c r="P1737" s="207"/>
      <c r="Q1737" s="207"/>
      <c r="R1737" s="207"/>
      <c r="S1737" s="207"/>
      <c r="T1737" s="207"/>
      <c r="U1737" s="178" t="s">
        <v>2128</v>
      </c>
      <c r="V1737" s="165"/>
      <c r="W1737" s="451">
        <v>0</v>
      </c>
      <c r="X1737" s="165">
        <v>1000000</v>
      </c>
      <c r="Y1737" s="165">
        <v>500000</v>
      </c>
    </row>
    <row r="1738" spans="1:25" ht="38.25">
      <c r="A1738" s="162"/>
      <c r="B1738" s="163"/>
      <c r="C1738" s="180"/>
      <c r="D1738" s="207"/>
      <c r="E1738" s="207"/>
      <c r="F1738" s="207"/>
      <c r="G1738" s="207"/>
      <c r="H1738" s="207"/>
      <c r="I1738" s="207"/>
      <c r="J1738" s="207"/>
      <c r="K1738" s="207"/>
      <c r="L1738" s="207"/>
      <c r="M1738" s="207"/>
      <c r="N1738" s="207"/>
      <c r="O1738" s="207"/>
      <c r="P1738" s="207"/>
      <c r="Q1738" s="207"/>
      <c r="R1738" s="207"/>
      <c r="S1738" s="207"/>
      <c r="T1738" s="207"/>
      <c r="U1738" s="178" t="s">
        <v>2129</v>
      </c>
      <c r="V1738" s="165"/>
      <c r="W1738" s="451">
        <v>8000000</v>
      </c>
      <c r="X1738" s="165">
        <v>8000000</v>
      </c>
      <c r="Y1738" s="165">
        <v>10000000</v>
      </c>
    </row>
    <row r="1739" spans="1:25">
      <c r="A1739" s="162"/>
      <c r="B1739" s="163"/>
      <c r="C1739" s="180"/>
      <c r="D1739" s="207"/>
      <c r="E1739" s="207"/>
      <c r="F1739" s="207"/>
      <c r="G1739" s="207"/>
      <c r="H1739" s="207"/>
      <c r="I1739" s="207"/>
      <c r="J1739" s="207"/>
      <c r="K1739" s="207"/>
      <c r="L1739" s="207"/>
      <c r="M1739" s="207"/>
      <c r="N1739" s="207"/>
      <c r="O1739" s="207"/>
      <c r="P1739" s="207"/>
      <c r="Q1739" s="207"/>
      <c r="R1739" s="207"/>
      <c r="S1739" s="207"/>
      <c r="T1739" s="207"/>
      <c r="U1739" s="178" t="s">
        <v>2163</v>
      </c>
      <c r="V1739" s="165"/>
      <c r="W1739" s="451">
        <v>30000000</v>
      </c>
      <c r="X1739" s="165"/>
      <c r="Y1739" s="165"/>
    </row>
    <row r="1740" spans="1:25" s="184" customFormat="1">
      <c r="A1740" s="181"/>
      <c r="B1740" s="182"/>
      <c r="C1740" s="182"/>
      <c r="D1740" s="182"/>
      <c r="E1740" s="182"/>
      <c r="F1740" s="182"/>
      <c r="G1740" s="182"/>
      <c r="H1740" s="182"/>
      <c r="I1740" s="182"/>
      <c r="J1740" s="182"/>
      <c r="K1740" s="182"/>
      <c r="L1740" s="182"/>
      <c r="M1740" s="182"/>
      <c r="N1740" s="182"/>
      <c r="O1740" s="182"/>
      <c r="P1740" s="182"/>
      <c r="Q1740" s="182"/>
      <c r="R1740" s="182"/>
      <c r="S1740" s="182"/>
      <c r="T1740" s="182"/>
      <c r="U1740" s="183"/>
      <c r="V1740" s="168">
        <f>SUM(V1719:V1738)</f>
        <v>119785000</v>
      </c>
      <c r="W1740" s="168">
        <f t="shared" ref="W1740" si="162">SUM(W1719:W1739)</f>
        <v>247835850</v>
      </c>
      <c r="X1740" s="168">
        <f>SUM(X1719:X1738)</f>
        <v>163744850</v>
      </c>
      <c r="Y1740" s="168">
        <f>SUM(Y1719:Y1738)</f>
        <v>167644850</v>
      </c>
    </row>
    <row r="1742" spans="1:25">
      <c r="U1742" s="190" t="s">
        <v>1218</v>
      </c>
    </row>
    <row r="1743" spans="1:25">
      <c r="U1743" s="144" t="s">
        <v>2181</v>
      </c>
      <c r="V1743" s="262">
        <v>247835850</v>
      </c>
    </row>
    <row r="1747" spans="1:25" ht="26.25">
      <c r="A1747" s="187" t="s">
        <v>103</v>
      </c>
      <c r="B1747" s="187"/>
      <c r="C1747" s="187"/>
      <c r="D1747" s="187"/>
      <c r="E1747" s="187"/>
      <c r="F1747" s="187"/>
      <c r="G1747" s="187"/>
      <c r="H1747" s="187"/>
      <c r="I1747" s="187"/>
      <c r="J1747" s="187"/>
      <c r="K1747" s="187"/>
      <c r="L1747" s="187"/>
      <c r="M1747" s="187"/>
      <c r="N1747" s="187"/>
      <c r="O1747" s="187"/>
      <c r="P1747" s="187"/>
      <c r="Q1747" s="187"/>
      <c r="R1747" s="187"/>
      <c r="S1747" s="187"/>
      <c r="T1747" s="187"/>
      <c r="U1747" s="187"/>
      <c r="V1747" s="187"/>
      <c r="W1747" s="356"/>
      <c r="X1747" s="187"/>
      <c r="Y1747" s="187"/>
    </row>
    <row r="1748" spans="1:25">
      <c r="A1748" s="162"/>
      <c r="B1748" s="163"/>
      <c r="C1748" s="163"/>
      <c r="D1748" s="163"/>
      <c r="E1748" s="163"/>
      <c r="F1748" s="163"/>
      <c r="G1748" s="163"/>
      <c r="H1748" s="163"/>
      <c r="I1748" s="163"/>
      <c r="J1748" s="163"/>
      <c r="K1748" s="163"/>
      <c r="L1748" s="163"/>
      <c r="M1748" s="163"/>
      <c r="N1748" s="163"/>
      <c r="O1748" s="163"/>
      <c r="P1748" s="163"/>
      <c r="Q1748" s="163"/>
      <c r="R1748" s="163"/>
      <c r="S1748" s="163"/>
      <c r="T1748" s="163"/>
      <c r="U1748" s="178" t="s">
        <v>1671</v>
      </c>
      <c r="V1748" s="165"/>
      <c r="W1748" s="451">
        <v>162032250</v>
      </c>
      <c r="X1748" s="165">
        <v>108032250</v>
      </c>
      <c r="Y1748" s="165">
        <v>0</v>
      </c>
    </row>
    <row r="1749" spans="1:25">
      <c r="A1749" s="162"/>
      <c r="B1749" s="163"/>
      <c r="C1749" s="163"/>
      <c r="D1749" s="163"/>
      <c r="E1749" s="163"/>
      <c r="F1749" s="163"/>
      <c r="G1749" s="163"/>
      <c r="H1749" s="163"/>
      <c r="I1749" s="163"/>
      <c r="J1749" s="163"/>
      <c r="K1749" s="163"/>
      <c r="L1749" s="163"/>
      <c r="M1749" s="163"/>
      <c r="N1749" s="163"/>
      <c r="O1749" s="163"/>
      <c r="P1749" s="163"/>
      <c r="Q1749" s="163"/>
      <c r="R1749" s="163"/>
      <c r="S1749" s="163"/>
      <c r="T1749" s="163"/>
      <c r="U1749" s="178" t="s">
        <v>1672</v>
      </c>
      <c r="V1749" s="165"/>
      <c r="W1749" s="451">
        <v>82039500</v>
      </c>
      <c r="X1749" s="165">
        <v>121539500</v>
      </c>
      <c r="Y1749" s="165">
        <v>121539500</v>
      </c>
    </row>
    <row r="1750" spans="1:25">
      <c r="A1750" s="162"/>
      <c r="B1750" s="163"/>
      <c r="C1750" s="163"/>
      <c r="D1750" s="163"/>
      <c r="E1750" s="163"/>
      <c r="F1750" s="163"/>
      <c r="G1750" s="163"/>
      <c r="H1750" s="163"/>
      <c r="I1750" s="163"/>
      <c r="J1750" s="163"/>
      <c r="K1750" s="163"/>
      <c r="L1750" s="163"/>
      <c r="M1750" s="163"/>
      <c r="N1750" s="163"/>
      <c r="O1750" s="163"/>
      <c r="P1750" s="163"/>
      <c r="Q1750" s="163"/>
      <c r="R1750" s="163"/>
      <c r="S1750" s="163"/>
      <c r="T1750" s="163"/>
      <c r="U1750" s="178" t="s">
        <v>1673</v>
      </c>
      <c r="V1750" s="165"/>
      <c r="W1750" s="451">
        <v>33751000</v>
      </c>
      <c r="X1750" s="165"/>
      <c r="Y1750" s="165"/>
    </row>
    <row r="1751" spans="1:25">
      <c r="A1751" s="162"/>
      <c r="B1751" s="179"/>
      <c r="C1751" s="179"/>
      <c r="D1751" s="179"/>
      <c r="E1751" s="179"/>
      <c r="F1751" s="179"/>
      <c r="G1751" s="179"/>
      <c r="H1751" s="179"/>
      <c r="I1751" s="179"/>
      <c r="J1751" s="179"/>
      <c r="K1751" s="179"/>
      <c r="L1751" s="179"/>
      <c r="M1751" s="179"/>
      <c r="N1751" s="179"/>
      <c r="O1751" s="179"/>
      <c r="P1751" s="179"/>
      <c r="Q1751" s="179"/>
      <c r="R1751" s="179"/>
      <c r="S1751" s="179"/>
      <c r="T1751" s="179"/>
      <c r="U1751" s="170" t="s">
        <v>1674</v>
      </c>
      <c r="V1751" s="165">
        <v>100000000</v>
      </c>
      <c r="W1751" s="451">
        <v>0</v>
      </c>
      <c r="X1751" s="163"/>
      <c r="Y1751" s="163"/>
    </row>
    <row r="1752" spans="1:25">
      <c r="A1752" s="162"/>
      <c r="B1752" s="179"/>
      <c r="C1752" s="179"/>
      <c r="D1752" s="179"/>
      <c r="E1752" s="179"/>
      <c r="F1752" s="179"/>
      <c r="G1752" s="179"/>
      <c r="H1752" s="179"/>
      <c r="I1752" s="179"/>
      <c r="J1752" s="179"/>
      <c r="K1752" s="179"/>
      <c r="L1752" s="179"/>
      <c r="M1752" s="179"/>
      <c r="N1752" s="179"/>
      <c r="O1752" s="179"/>
      <c r="P1752" s="179"/>
      <c r="Q1752" s="179"/>
      <c r="R1752" s="179"/>
      <c r="S1752" s="179"/>
      <c r="T1752" s="179"/>
      <c r="U1752" s="170" t="s">
        <v>1675</v>
      </c>
      <c r="V1752" s="165">
        <v>10000000</v>
      </c>
      <c r="W1752" s="451">
        <v>0</v>
      </c>
      <c r="X1752" s="163"/>
      <c r="Y1752" s="163"/>
    </row>
    <row r="1753" spans="1:25">
      <c r="A1753" s="162"/>
      <c r="B1753" s="179"/>
      <c r="C1753" s="179"/>
      <c r="D1753" s="179"/>
      <c r="E1753" s="179"/>
      <c r="F1753" s="179"/>
      <c r="G1753" s="179"/>
      <c r="H1753" s="179"/>
      <c r="I1753" s="179"/>
      <c r="J1753" s="179"/>
      <c r="K1753" s="179"/>
      <c r="L1753" s="179"/>
      <c r="M1753" s="179"/>
      <c r="N1753" s="179"/>
      <c r="O1753" s="179"/>
      <c r="P1753" s="179"/>
      <c r="Q1753" s="179"/>
      <c r="R1753" s="179"/>
      <c r="S1753" s="179"/>
      <c r="T1753" s="179"/>
      <c r="U1753" s="170" t="s">
        <v>1676</v>
      </c>
      <c r="V1753" s="165">
        <v>1000000</v>
      </c>
      <c r="W1753" s="451">
        <v>0</v>
      </c>
      <c r="X1753" s="163"/>
      <c r="Y1753" s="163"/>
    </row>
    <row r="1754" spans="1:25">
      <c r="A1754" s="162"/>
      <c r="B1754" s="179"/>
      <c r="C1754" s="179"/>
      <c r="D1754" s="179"/>
      <c r="E1754" s="179"/>
      <c r="F1754" s="179"/>
      <c r="G1754" s="179"/>
      <c r="H1754" s="179"/>
      <c r="I1754" s="179"/>
      <c r="J1754" s="179"/>
      <c r="K1754" s="179"/>
      <c r="L1754" s="179"/>
      <c r="M1754" s="179"/>
      <c r="N1754" s="179"/>
      <c r="O1754" s="179"/>
      <c r="P1754" s="179"/>
      <c r="Q1754" s="179"/>
      <c r="R1754" s="179"/>
      <c r="S1754" s="179"/>
      <c r="T1754" s="179"/>
      <c r="U1754" s="170" t="s">
        <v>1677</v>
      </c>
      <c r="V1754" s="165">
        <v>200000000</v>
      </c>
      <c r="W1754" s="451">
        <v>50500000</v>
      </c>
      <c r="X1754" s="163"/>
      <c r="Y1754" s="163"/>
    </row>
    <row r="1755" spans="1:25" s="184" customFormat="1">
      <c r="A1755" s="181"/>
      <c r="B1755" s="182"/>
      <c r="C1755" s="182"/>
      <c r="D1755" s="182"/>
      <c r="E1755" s="182"/>
      <c r="F1755" s="182"/>
      <c r="G1755" s="182"/>
      <c r="H1755" s="182"/>
      <c r="I1755" s="182"/>
      <c r="J1755" s="182"/>
      <c r="K1755" s="182"/>
      <c r="L1755" s="182"/>
      <c r="M1755" s="182"/>
      <c r="N1755" s="182"/>
      <c r="O1755" s="182"/>
      <c r="P1755" s="182"/>
      <c r="Q1755" s="182"/>
      <c r="R1755" s="182"/>
      <c r="S1755" s="182"/>
      <c r="T1755" s="182"/>
      <c r="U1755" s="183"/>
      <c r="V1755" s="168">
        <f t="shared" ref="V1755:Y1755" si="163">SUM(V1748:V1754)</f>
        <v>311000000</v>
      </c>
      <c r="W1755" s="168">
        <f t="shared" si="163"/>
        <v>328322750</v>
      </c>
      <c r="X1755" s="168">
        <f t="shared" si="163"/>
        <v>229571750</v>
      </c>
      <c r="Y1755" s="168">
        <f t="shared" si="163"/>
        <v>121539500</v>
      </c>
    </row>
    <row r="1756" spans="1:25" s="184" customFormat="1">
      <c r="A1756" s="188"/>
      <c r="B1756" s="189"/>
      <c r="C1756" s="189"/>
      <c r="D1756" s="189"/>
      <c r="E1756" s="189"/>
      <c r="F1756" s="189"/>
      <c r="G1756" s="189"/>
      <c r="H1756" s="189"/>
      <c r="I1756" s="189"/>
      <c r="J1756" s="189"/>
      <c r="K1756" s="189"/>
      <c r="L1756" s="189"/>
      <c r="M1756" s="189"/>
      <c r="N1756" s="189"/>
      <c r="O1756" s="189"/>
      <c r="P1756" s="189"/>
      <c r="Q1756" s="189"/>
      <c r="R1756" s="189"/>
      <c r="S1756" s="189"/>
      <c r="T1756" s="189"/>
      <c r="U1756" s="190"/>
      <c r="V1756" s="191"/>
      <c r="W1756" s="191"/>
      <c r="X1756" s="191"/>
      <c r="Y1756" s="191"/>
    </row>
    <row r="1757" spans="1:25" s="184" customFormat="1">
      <c r="A1757" s="188"/>
      <c r="B1757" s="189"/>
      <c r="C1757" s="189"/>
      <c r="D1757" s="189"/>
      <c r="E1757" s="189"/>
      <c r="F1757" s="189"/>
      <c r="G1757" s="189"/>
      <c r="H1757" s="189"/>
      <c r="I1757" s="189"/>
      <c r="J1757" s="189"/>
      <c r="K1757" s="189"/>
      <c r="L1757" s="189"/>
      <c r="M1757" s="189"/>
      <c r="N1757" s="189"/>
      <c r="O1757" s="189"/>
      <c r="P1757" s="189"/>
      <c r="Q1757" s="189"/>
      <c r="R1757" s="189"/>
      <c r="S1757" s="189"/>
      <c r="T1757" s="189"/>
      <c r="U1757" s="190"/>
      <c r="V1757" s="191"/>
      <c r="W1757" s="191"/>
      <c r="X1757" s="191"/>
      <c r="Y1757" s="191"/>
    </row>
    <row r="1758" spans="1:25" s="184" customFormat="1">
      <c r="A1758" s="188"/>
      <c r="B1758" s="189"/>
      <c r="C1758" s="189"/>
      <c r="D1758" s="189"/>
      <c r="E1758" s="189"/>
      <c r="F1758" s="189"/>
      <c r="G1758" s="189"/>
      <c r="H1758" s="189"/>
      <c r="I1758" s="189"/>
      <c r="J1758" s="189"/>
      <c r="K1758" s="189"/>
      <c r="L1758" s="189"/>
      <c r="M1758" s="189"/>
      <c r="N1758" s="189"/>
      <c r="O1758" s="189"/>
      <c r="P1758" s="189"/>
      <c r="Q1758" s="189"/>
      <c r="R1758" s="189"/>
      <c r="S1758" s="189"/>
      <c r="T1758" s="189"/>
      <c r="U1758" s="190"/>
      <c r="V1758" s="191"/>
      <c r="W1758" s="191"/>
      <c r="X1758" s="191"/>
      <c r="Y1758" s="191"/>
    </row>
    <row r="1759" spans="1:25" s="184" customFormat="1">
      <c r="A1759" s="188"/>
      <c r="B1759" s="189"/>
      <c r="C1759" s="189"/>
      <c r="D1759" s="189"/>
      <c r="E1759" s="189"/>
      <c r="F1759" s="189"/>
      <c r="G1759" s="189"/>
      <c r="H1759" s="189"/>
      <c r="I1759" s="189"/>
      <c r="J1759" s="189"/>
      <c r="K1759" s="189"/>
      <c r="L1759" s="189"/>
      <c r="M1759" s="189"/>
      <c r="N1759" s="189"/>
      <c r="O1759" s="189"/>
      <c r="P1759" s="189"/>
      <c r="Q1759" s="189"/>
      <c r="R1759" s="189"/>
      <c r="S1759" s="189"/>
      <c r="T1759" s="189"/>
      <c r="U1759" s="190"/>
      <c r="V1759" s="191"/>
      <c r="W1759" s="191"/>
      <c r="X1759" s="191"/>
      <c r="Y1759" s="191"/>
    </row>
    <row r="1761" spans="1:25" ht="26.25">
      <c r="A1761" s="187" t="s">
        <v>102</v>
      </c>
      <c r="B1761" s="187"/>
      <c r="C1761" s="187"/>
      <c r="D1761" s="187"/>
      <c r="E1761" s="187"/>
      <c r="F1761" s="187"/>
      <c r="G1761" s="187"/>
      <c r="H1761" s="187"/>
      <c r="I1761" s="187"/>
      <c r="J1761" s="187"/>
      <c r="K1761" s="187"/>
      <c r="L1761" s="187"/>
      <c r="M1761" s="187"/>
      <c r="N1761" s="187"/>
      <c r="O1761" s="187"/>
      <c r="P1761" s="187"/>
      <c r="Q1761" s="187"/>
      <c r="R1761" s="187"/>
      <c r="S1761" s="187"/>
      <c r="T1761" s="187"/>
      <c r="U1761" s="187"/>
      <c r="V1761" s="187"/>
      <c r="W1761" s="356"/>
      <c r="X1761" s="187"/>
      <c r="Y1761" s="187"/>
    </row>
    <row r="1762" spans="1:25">
      <c r="A1762" s="162"/>
      <c r="B1762" s="163"/>
      <c r="C1762" s="163"/>
      <c r="D1762" s="163"/>
      <c r="E1762" s="163"/>
      <c r="F1762" s="163"/>
      <c r="G1762" s="163"/>
      <c r="H1762" s="163"/>
      <c r="I1762" s="163"/>
      <c r="J1762" s="163"/>
      <c r="K1762" s="163"/>
      <c r="L1762" s="163"/>
      <c r="M1762" s="163"/>
      <c r="N1762" s="163"/>
      <c r="O1762" s="163"/>
      <c r="P1762" s="163"/>
      <c r="Q1762" s="163"/>
      <c r="R1762" s="163"/>
      <c r="S1762" s="163"/>
      <c r="T1762" s="163"/>
      <c r="U1762" s="178" t="s">
        <v>2043</v>
      </c>
      <c r="V1762" s="165"/>
      <c r="W1762" s="451">
        <v>3540000</v>
      </c>
      <c r="X1762" s="165">
        <v>2140000</v>
      </c>
      <c r="Y1762" s="165">
        <v>2140000</v>
      </c>
    </row>
    <row r="1763" spans="1:25">
      <c r="A1763" s="162"/>
      <c r="B1763" s="163"/>
      <c r="C1763" s="163"/>
      <c r="D1763" s="163"/>
      <c r="E1763" s="163"/>
      <c r="F1763" s="163"/>
      <c r="G1763" s="163"/>
      <c r="H1763" s="163"/>
      <c r="I1763" s="163"/>
      <c r="J1763" s="163"/>
      <c r="K1763" s="163"/>
      <c r="L1763" s="163"/>
      <c r="M1763" s="163"/>
      <c r="N1763" s="163"/>
      <c r="O1763" s="163"/>
      <c r="P1763" s="163"/>
      <c r="Q1763" s="163"/>
      <c r="R1763" s="163"/>
      <c r="S1763" s="163"/>
      <c r="T1763" s="163"/>
      <c r="U1763" s="178" t="s">
        <v>2044</v>
      </c>
      <c r="V1763" s="165"/>
      <c r="W1763" s="451">
        <v>5200000</v>
      </c>
      <c r="X1763" s="165">
        <v>0</v>
      </c>
      <c r="Y1763" s="165">
        <v>0</v>
      </c>
    </row>
    <row r="1764" spans="1:25">
      <c r="A1764" s="162"/>
      <c r="B1764" s="163"/>
      <c r="C1764" s="163"/>
      <c r="D1764" s="163"/>
      <c r="E1764" s="163"/>
      <c r="F1764" s="163"/>
      <c r="G1764" s="163"/>
      <c r="H1764" s="163"/>
      <c r="I1764" s="163"/>
      <c r="J1764" s="163"/>
      <c r="K1764" s="163"/>
      <c r="L1764" s="163"/>
      <c r="M1764" s="163"/>
      <c r="N1764" s="163"/>
      <c r="O1764" s="163"/>
      <c r="P1764" s="163"/>
      <c r="Q1764" s="163"/>
      <c r="R1764" s="163"/>
      <c r="S1764" s="163"/>
      <c r="T1764" s="163"/>
      <c r="U1764" s="178" t="s">
        <v>2045</v>
      </c>
      <c r="V1764" s="165"/>
      <c r="W1764" s="451">
        <v>0</v>
      </c>
      <c r="X1764" s="165">
        <v>0</v>
      </c>
      <c r="Y1764" s="165">
        <v>0</v>
      </c>
    </row>
    <row r="1765" spans="1:25">
      <c r="A1765" s="162"/>
      <c r="B1765" s="163"/>
      <c r="C1765" s="163"/>
      <c r="D1765" s="163"/>
      <c r="E1765" s="163"/>
      <c r="F1765" s="163"/>
      <c r="G1765" s="163"/>
      <c r="H1765" s="163"/>
      <c r="I1765" s="163"/>
      <c r="J1765" s="163"/>
      <c r="K1765" s="163"/>
      <c r="L1765" s="163"/>
      <c r="M1765" s="163"/>
      <c r="N1765" s="163"/>
      <c r="O1765" s="163"/>
      <c r="P1765" s="163"/>
      <c r="Q1765" s="163"/>
      <c r="R1765" s="163"/>
      <c r="S1765" s="163"/>
      <c r="T1765" s="163"/>
      <c r="U1765" s="178" t="s">
        <v>2046</v>
      </c>
      <c r="V1765" s="165"/>
      <c r="W1765" s="451">
        <v>3700000</v>
      </c>
      <c r="X1765" s="165">
        <v>0</v>
      </c>
      <c r="Y1765" s="165">
        <v>0</v>
      </c>
    </row>
    <row r="1766" spans="1:25">
      <c r="A1766" s="162"/>
      <c r="B1766" s="163"/>
      <c r="C1766" s="163"/>
      <c r="D1766" s="163"/>
      <c r="E1766" s="163"/>
      <c r="F1766" s="163"/>
      <c r="G1766" s="163"/>
      <c r="H1766" s="163"/>
      <c r="I1766" s="163"/>
      <c r="J1766" s="163"/>
      <c r="K1766" s="163"/>
      <c r="L1766" s="163"/>
      <c r="M1766" s="163"/>
      <c r="N1766" s="163"/>
      <c r="O1766" s="163"/>
      <c r="P1766" s="163"/>
      <c r="Q1766" s="163"/>
      <c r="R1766" s="163"/>
      <c r="S1766" s="163"/>
      <c r="T1766" s="163"/>
      <c r="U1766" s="178" t="s">
        <v>2047</v>
      </c>
      <c r="V1766" s="165"/>
      <c r="W1766" s="451">
        <v>19839000</v>
      </c>
      <c r="X1766" s="165">
        <v>0</v>
      </c>
      <c r="Y1766" s="165">
        <v>0</v>
      </c>
    </row>
    <row r="1767" spans="1:25" ht="25.5">
      <c r="A1767" s="162"/>
      <c r="B1767" s="163"/>
      <c r="C1767" s="163"/>
      <c r="D1767" s="163"/>
      <c r="E1767" s="163"/>
      <c r="F1767" s="163"/>
      <c r="G1767" s="163"/>
      <c r="H1767" s="163"/>
      <c r="I1767" s="163"/>
      <c r="J1767" s="163"/>
      <c r="K1767" s="163"/>
      <c r="L1767" s="163"/>
      <c r="M1767" s="163"/>
      <c r="N1767" s="163"/>
      <c r="O1767" s="163"/>
      <c r="P1767" s="163"/>
      <c r="Q1767" s="163"/>
      <c r="R1767" s="163"/>
      <c r="S1767" s="163"/>
      <c r="T1767" s="163"/>
      <c r="U1767" s="178" t="s">
        <v>2048</v>
      </c>
      <c r="V1767" s="165"/>
      <c r="W1767" s="451">
        <v>96075000</v>
      </c>
      <c r="X1767" s="165">
        <v>0</v>
      </c>
      <c r="Y1767" s="165">
        <v>0</v>
      </c>
    </row>
    <row r="1768" spans="1:25" ht="25.5">
      <c r="A1768" s="162"/>
      <c r="B1768" s="163"/>
      <c r="C1768" s="163"/>
      <c r="D1768" s="163"/>
      <c r="E1768" s="163"/>
      <c r="F1768" s="163"/>
      <c r="G1768" s="163"/>
      <c r="H1768" s="163"/>
      <c r="I1768" s="163"/>
      <c r="J1768" s="163"/>
      <c r="K1768" s="163"/>
      <c r="L1768" s="163"/>
      <c r="M1768" s="163"/>
      <c r="N1768" s="163"/>
      <c r="O1768" s="163"/>
      <c r="P1768" s="163"/>
      <c r="Q1768" s="163"/>
      <c r="R1768" s="163"/>
      <c r="S1768" s="163"/>
      <c r="T1768" s="163"/>
      <c r="U1768" s="178" t="s">
        <v>2049</v>
      </c>
      <c r="V1768" s="165"/>
      <c r="W1768" s="451">
        <v>65160000</v>
      </c>
      <c r="X1768" s="165">
        <v>0</v>
      </c>
      <c r="Y1768" s="165">
        <v>0</v>
      </c>
    </row>
    <row r="1769" spans="1:25">
      <c r="A1769" s="162"/>
      <c r="B1769" s="163"/>
      <c r="C1769" s="163"/>
      <c r="D1769" s="163"/>
      <c r="E1769" s="163"/>
      <c r="F1769" s="163"/>
      <c r="G1769" s="163"/>
      <c r="H1769" s="163"/>
      <c r="I1769" s="163"/>
      <c r="J1769" s="163"/>
      <c r="K1769" s="163"/>
      <c r="L1769" s="163"/>
      <c r="M1769" s="163"/>
      <c r="N1769" s="163"/>
      <c r="O1769" s="163"/>
      <c r="P1769" s="163"/>
      <c r="Q1769" s="163"/>
      <c r="R1769" s="163"/>
      <c r="S1769" s="163"/>
      <c r="T1769" s="163"/>
      <c r="U1769" s="178" t="s">
        <v>2050</v>
      </c>
      <c r="V1769" s="165">
        <v>15000000</v>
      </c>
      <c r="W1769" s="451">
        <v>27600000</v>
      </c>
      <c r="X1769" s="165">
        <v>27600000</v>
      </c>
      <c r="Y1769" s="165">
        <v>27600000</v>
      </c>
    </row>
    <row r="1770" spans="1:25">
      <c r="A1770" s="162"/>
      <c r="B1770" s="163"/>
      <c r="C1770" s="163"/>
      <c r="D1770" s="163"/>
      <c r="E1770" s="163"/>
      <c r="F1770" s="163"/>
      <c r="G1770" s="163"/>
      <c r="H1770" s="163"/>
      <c r="I1770" s="163"/>
      <c r="J1770" s="163"/>
      <c r="K1770" s="163"/>
      <c r="L1770" s="163"/>
      <c r="M1770" s="163"/>
      <c r="N1770" s="163"/>
      <c r="O1770" s="163"/>
      <c r="P1770" s="163"/>
      <c r="Q1770" s="163"/>
      <c r="R1770" s="163"/>
      <c r="S1770" s="163"/>
      <c r="T1770" s="163"/>
      <c r="U1770" s="178" t="s">
        <v>1690</v>
      </c>
      <c r="V1770" s="165">
        <v>1000000</v>
      </c>
      <c r="W1770" s="451">
        <v>7091000</v>
      </c>
      <c r="X1770" s="165">
        <v>7091000</v>
      </c>
      <c r="Y1770" s="165">
        <v>7091000</v>
      </c>
    </row>
    <row r="1771" spans="1:25" ht="25.5">
      <c r="A1771" s="162"/>
      <c r="B1771" s="163"/>
      <c r="C1771" s="163"/>
      <c r="D1771" s="163"/>
      <c r="E1771" s="163"/>
      <c r="F1771" s="163"/>
      <c r="G1771" s="163"/>
      <c r="H1771" s="163"/>
      <c r="I1771" s="163"/>
      <c r="J1771" s="163"/>
      <c r="K1771" s="163"/>
      <c r="L1771" s="163"/>
      <c r="M1771" s="163"/>
      <c r="N1771" s="163"/>
      <c r="O1771" s="163"/>
      <c r="P1771" s="163"/>
      <c r="Q1771" s="163"/>
      <c r="R1771" s="163"/>
      <c r="S1771" s="163"/>
      <c r="T1771" s="163"/>
      <c r="U1771" s="178" t="s">
        <v>2051</v>
      </c>
      <c r="V1771" s="165"/>
      <c r="W1771" s="451">
        <v>14000000</v>
      </c>
      <c r="X1771" s="165">
        <v>0</v>
      </c>
      <c r="Y1771" s="165">
        <v>0</v>
      </c>
    </row>
    <row r="1772" spans="1:25">
      <c r="A1772" s="162"/>
      <c r="B1772" s="163"/>
      <c r="C1772" s="163"/>
      <c r="D1772" s="163"/>
      <c r="E1772" s="163"/>
      <c r="F1772" s="163"/>
      <c r="G1772" s="163"/>
      <c r="H1772" s="163"/>
      <c r="I1772" s="163"/>
      <c r="J1772" s="163"/>
      <c r="K1772" s="163"/>
      <c r="L1772" s="163"/>
      <c r="M1772" s="163"/>
      <c r="N1772" s="163"/>
      <c r="O1772" s="163"/>
      <c r="P1772" s="163"/>
      <c r="Q1772" s="163"/>
      <c r="R1772" s="163"/>
      <c r="S1772" s="163"/>
      <c r="T1772" s="163"/>
      <c r="U1772" s="178" t="s">
        <v>2052</v>
      </c>
      <c r="V1772" s="165">
        <v>3000000</v>
      </c>
      <c r="W1772" s="451">
        <v>12500000</v>
      </c>
      <c r="X1772" s="165"/>
      <c r="Y1772" s="165"/>
    </row>
    <row r="1773" spans="1:25">
      <c r="A1773" s="162"/>
      <c r="B1773" s="163"/>
      <c r="C1773" s="163"/>
      <c r="D1773" s="163"/>
      <c r="E1773" s="163"/>
      <c r="F1773" s="163"/>
      <c r="G1773" s="163"/>
      <c r="H1773" s="163"/>
      <c r="I1773" s="163"/>
      <c r="J1773" s="163"/>
      <c r="K1773" s="163"/>
      <c r="L1773" s="163"/>
      <c r="M1773" s="163"/>
      <c r="N1773" s="163"/>
      <c r="O1773" s="163"/>
      <c r="P1773" s="163"/>
      <c r="Q1773" s="163"/>
      <c r="R1773" s="163"/>
      <c r="S1773" s="163"/>
      <c r="T1773" s="163"/>
      <c r="U1773" s="178" t="s">
        <v>2597</v>
      </c>
      <c r="V1773" s="165"/>
      <c r="W1773" s="451">
        <v>8500000</v>
      </c>
      <c r="X1773" s="165"/>
      <c r="Y1773" s="165"/>
    </row>
    <row r="1774" spans="1:25">
      <c r="A1774" s="162"/>
      <c r="B1774" s="163"/>
      <c r="C1774" s="163"/>
      <c r="D1774" s="163"/>
      <c r="E1774" s="163"/>
      <c r="F1774" s="163"/>
      <c r="G1774" s="163"/>
      <c r="H1774" s="163"/>
      <c r="I1774" s="163"/>
      <c r="J1774" s="163"/>
      <c r="K1774" s="163"/>
      <c r="L1774" s="163"/>
      <c r="M1774" s="163"/>
      <c r="N1774" s="163"/>
      <c r="O1774" s="163"/>
      <c r="P1774" s="163"/>
      <c r="Q1774" s="163"/>
      <c r="R1774" s="163"/>
      <c r="S1774" s="163"/>
      <c r="T1774" s="163"/>
      <c r="U1774" s="178" t="s">
        <v>2053</v>
      </c>
      <c r="V1774" s="165"/>
      <c r="W1774" s="451">
        <v>519000</v>
      </c>
      <c r="X1774" s="165"/>
      <c r="Y1774" s="165"/>
    </row>
    <row r="1775" spans="1:25">
      <c r="A1775" s="162"/>
      <c r="B1775" s="179"/>
      <c r="C1775" s="179"/>
      <c r="D1775" s="179"/>
      <c r="E1775" s="179"/>
      <c r="F1775" s="179"/>
      <c r="G1775" s="179"/>
      <c r="H1775" s="179"/>
      <c r="I1775" s="179"/>
      <c r="J1775" s="179"/>
      <c r="K1775" s="179"/>
      <c r="L1775" s="179"/>
      <c r="M1775" s="179"/>
      <c r="N1775" s="179"/>
      <c r="O1775" s="179"/>
      <c r="P1775" s="179"/>
      <c r="Q1775" s="179"/>
      <c r="R1775" s="179"/>
      <c r="S1775" s="179"/>
      <c r="T1775" s="179"/>
      <c r="U1775" s="170" t="s">
        <v>1678</v>
      </c>
      <c r="V1775" s="165">
        <v>3000000</v>
      </c>
      <c r="W1775" s="451">
        <v>0</v>
      </c>
      <c r="X1775" s="163"/>
      <c r="Y1775" s="163"/>
    </row>
    <row r="1776" spans="1:25">
      <c r="A1776" s="162"/>
      <c r="B1776" s="179"/>
      <c r="C1776" s="179"/>
      <c r="D1776" s="179"/>
      <c r="E1776" s="179"/>
      <c r="F1776" s="179"/>
      <c r="G1776" s="179"/>
      <c r="H1776" s="179"/>
      <c r="I1776" s="179"/>
      <c r="J1776" s="179"/>
      <c r="K1776" s="179"/>
      <c r="L1776" s="179"/>
      <c r="M1776" s="179"/>
      <c r="N1776" s="179"/>
      <c r="O1776" s="179"/>
      <c r="P1776" s="179"/>
      <c r="Q1776" s="179"/>
      <c r="R1776" s="179"/>
      <c r="S1776" s="179"/>
      <c r="T1776" s="179"/>
      <c r="U1776" s="170" t="s">
        <v>1679</v>
      </c>
      <c r="V1776" s="165">
        <v>38555000</v>
      </c>
      <c r="W1776" s="451">
        <v>0</v>
      </c>
      <c r="X1776" s="163"/>
      <c r="Y1776" s="163"/>
    </row>
    <row r="1777" spans="1:25">
      <c r="A1777" s="162"/>
      <c r="B1777" s="179"/>
      <c r="C1777" s="179"/>
      <c r="D1777" s="179"/>
      <c r="E1777" s="179"/>
      <c r="F1777" s="179"/>
      <c r="G1777" s="179"/>
      <c r="H1777" s="179"/>
      <c r="I1777" s="179"/>
      <c r="J1777" s="179"/>
      <c r="K1777" s="179"/>
      <c r="L1777" s="179"/>
      <c r="M1777" s="179"/>
      <c r="N1777" s="179"/>
      <c r="O1777" s="179"/>
      <c r="P1777" s="179"/>
      <c r="Q1777" s="179"/>
      <c r="R1777" s="179"/>
      <c r="S1777" s="179"/>
      <c r="T1777" s="179"/>
      <c r="U1777" s="170" t="s">
        <v>1680</v>
      </c>
      <c r="V1777" s="165">
        <v>3000000</v>
      </c>
      <c r="W1777" s="451">
        <v>0</v>
      </c>
      <c r="X1777" s="163"/>
      <c r="Y1777" s="163"/>
    </row>
    <row r="1778" spans="1:25">
      <c r="A1778" s="162"/>
      <c r="B1778" s="179"/>
      <c r="C1778" s="179"/>
      <c r="D1778" s="179"/>
      <c r="E1778" s="179"/>
      <c r="F1778" s="179"/>
      <c r="G1778" s="179"/>
      <c r="H1778" s="179"/>
      <c r="I1778" s="179"/>
      <c r="J1778" s="179"/>
      <c r="K1778" s="179"/>
      <c r="L1778" s="179"/>
      <c r="M1778" s="179"/>
      <c r="N1778" s="179"/>
      <c r="O1778" s="179"/>
      <c r="P1778" s="179"/>
      <c r="Q1778" s="179"/>
      <c r="R1778" s="179"/>
      <c r="S1778" s="179"/>
      <c r="T1778" s="179"/>
      <c r="U1778" s="170" t="s">
        <v>1681</v>
      </c>
      <c r="V1778" s="165">
        <v>605000</v>
      </c>
      <c r="W1778" s="451">
        <v>0</v>
      </c>
      <c r="X1778" s="163"/>
      <c r="Y1778" s="163"/>
    </row>
    <row r="1779" spans="1:25" s="184" customFormat="1">
      <c r="A1779" s="181"/>
      <c r="B1779" s="182"/>
      <c r="C1779" s="182"/>
      <c r="D1779" s="182"/>
      <c r="E1779" s="182"/>
      <c r="F1779" s="182"/>
      <c r="G1779" s="182"/>
      <c r="H1779" s="182"/>
      <c r="I1779" s="182"/>
      <c r="J1779" s="182"/>
      <c r="K1779" s="182"/>
      <c r="L1779" s="182"/>
      <c r="M1779" s="182"/>
      <c r="N1779" s="182"/>
      <c r="O1779" s="182"/>
      <c r="P1779" s="182"/>
      <c r="Q1779" s="182"/>
      <c r="R1779" s="182"/>
      <c r="S1779" s="182"/>
      <c r="T1779" s="182"/>
      <c r="U1779" s="183"/>
      <c r="V1779" s="168">
        <f t="shared" ref="V1779:Y1779" si="164">SUM(V1762:V1778)</f>
        <v>64160000</v>
      </c>
      <c r="W1779" s="168">
        <f t="shared" si="164"/>
        <v>263724000</v>
      </c>
      <c r="X1779" s="168">
        <f t="shared" si="164"/>
        <v>36831000</v>
      </c>
      <c r="Y1779" s="168">
        <f t="shared" si="164"/>
        <v>36831000</v>
      </c>
    </row>
    <row r="1785" spans="1:25" ht="26.25">
      <c r="A1785" s="187" t="s">
        <v>101</v>
      </c>
      <c r="B1785" s="187"/>
      <c r="C1785" s="187"/>
      <c r="D1785" s="187"/>
      <c r="E1785" s="187"/>
      <c r="F1785" s="187"/>
      <c r="G1785" s="187"/>
      <c r="H1785" s="187"/>
      <c r="I1785" s="187"/>
      <c r="J1785" s="187"/>
      <c r="K1785" s="187"/>
      <c r="L1785" s="187"/>
      <c r="M1785" s="187"/>
      <c r="N1785" s="187"/>
      <c r="O1785" s="187"/>
      <c r="P1785" s="187"/>
      <c r="Q1785" s="187"/>
      <c r="R1785" s="187"/>
      <c r="S1785" s="187"/>
      <c r="T1785" s="187"/>
      <c r="U1785" s="187"/>
      <c r="V1785" s="187"/>
      <c r="W1785" s="356"/>
      <c r="X1785" s="187"/>
      <c r="Y1785" s="187"/>
    </row>
    <row r="1786" spans="1:25" ht="25.5">
      <c r="A1786" s="162"/>
      <c r="B1786" s="163"/>
      <c r="C1786" s="163"/>
      <c r="D1786" s="163"/>
      <c r="E1786" s="163"/>
      <c r="F1786" s="163"/>
      <c r="G1786" s="163"/>
      <c r="H1786" s="163"/>
      <c r="I1786" s="163"/>
      <c r="J1786" s="163"/>
      <c r="K1786" s="163"/>
      <c r="L1786" s="163"/>
      <c r="M1786" s="163"/>
      <c r="N1786" s="163"/>
      <c r="O1786" s="163"/>
      <c r="P1786" s="163"/>
      <c r="Q1786" s="163"/>
      <c r="R1786" s="163"/>
      <c r="S1786" s="163"/>
      <c r="T1786" s="163"/>
      <c r="U1786" s="178" t="s">
        <v>2054</v>
      </c>
      <c r="V1786" s="165"/>
      <c r="W1786" s="451">
        <v>105011500</v>
      </c>
      <c r="X1786" s="165">
        <v>0</v>
      </c>
      <c r="Y1786" s="165">
        <v>0</v>
      </c>
    </row>
    <row r="1787" spans="1:25">
      <c r="A1787" s="162"/>
      <c r="B1787" s="163"/>
      <c r="C1787" s="163"/>
      <c r="D1787" s="163"/>
      <c r="E1787" s="163"/>
      <c r="F1787" s="163"/>
      <c r="G1787" s="163"/>
      <c r="H1787" s="163"/>
      <c r="I1787" s="163"/>
      <c r="J1787" s="163"/>
      <c r="K1787" s="163"/>
      <c r="L1787" s="163"/>
      <c r="M1787" s="163"/>
      <c r="N1787" s="163"/>
      <c r="O1787" s="163"/>
      <c r="P1787" s="163"/>
      <c r="Q1787" s="163"/>
      <c r="R1787" s="163"/>
      <c r="S1787" s="163"/>
      <c r="T1787" s="163"/>
      <c r="U1787" s="178" t="s">
        <v>2055</v>
      </c>
      <c r="V1787" s="165"/>
      <c r="W1787" s="451">
        <v>95011500</v>
      </c>
      <c r="X1787" s="165">
        <v>35000000</v>
      </c>
      <c r="Y1787" s="165">
        <v>35000000</v>
      </c>
    </row>
    <row r="1788" spans="1:25">
      <c r="A1788" s="162"/>
      <c r="B1788" s="163"/>
      <c r="C1788" s="163"/>
      <c r="D1788" s="163"/>
      <c r="E1788" s="163"/>
      <c r="F1788" s="163"/>
      <c r="G1788" s="163"/>
      <c r="H1788" s="163"/>
      <c r="I1788" s="163"/>
      <c r="J1788" s="163"/>
      <c r="K1788" s="163"/>
      <c r="L1788" s="163"/>
      <c r="M1788" s="163"/>
      <c r="N1788" s="163"/>
      <c r="O1788" s="163"/>
      <c r="P1788" s="163"/>
      <c r="Q1788" s="163"/>
      <c r="R1788" s="163"/>
      <c r="S1788" s="163"/>
      <c r="T1788" s="163"/>
      <c r="U1788" s="178" t="s">
        <v>1440</v>
      </c>
      <c r="V1788" s="165"/>
      <c r="W1788" s="451">
        <v>31511500</v>
      </c>
      <c r="X1788" s="165">
        <v>0</v>
      </c>
      <c r="Y1788" s="165">
        <v>0</v>
      </c>
    </row>
    <row r="1789" spans="1:25">
      <c r="A1789" s="162"/>
      <c r="B1789" s="163"/>
      <c r="C1789" s="163"/>
      <c r="D1789" s="163"/>
      <c r="E1789" s="163"/>
      <c r="F1789" s="163"/>
      <c r="G1789" s="163"/>
      <c r="H1789" s="163"/>
      <c r="I1789" s="163"/>
      <c r="J1789" s="163"/>
      <c r="K1789" s="163"/>
      <c r="L1789" s="163"/>
      <c r="M1789" s="163"/>
      <c r="N1789" s="163"/>
      <c r="O1789" s="163"/>
      <c r="P1789" s="163"/>
      <c r="Q1789" s="163"/>
      <c r="R1789" s="163"/>
      <c r="S1789" s="163"/>
      <c r="T1789" s="163"/>
      <c r="U1789" s="178" t="s">
        <v>2056</v>
      </c>
      <c r="V1789" s="165"/>
      <c r="W1789" s="451">
        <v>4875000</v>
      </c>
      <c r="X1789" s="165"/>
      <c r="Y1789" s="165"/>
    </row>
    <row r="1790" spans="1:25">
      <c r="A1790" s="162"/>
      <c r="B1790" s="179"/>
      <c r="C1790" s="179"/>
      <c r="D1790" s="179"/>
      <c r="E1790" s="179"/>
      <c r="F1790" s="179"/>
      <c r="G1790" s="179"/>
      <c r="H1790" s="179"/>
      <c r="I1790" s="179"/>
      <c r="J1790" s="179"/>
      <c r="K1790" s="179"/>
      <c r="L1790" s="179"/>
      <c r="M1790" s="179"/>
      <c r="N1790" s="179"/>
      <c r="O1790" s="179"/>
      <c r="P1790" s="179"/>
      <c r="Q1790" s="179"/>
      <c r="R1790" s="179"/>
      <c r="S1790" s="179"/>
      <c r="T1790" s="179"/>
      <c r="U1790" s="170" t="s">
        <v>1682</v>
      </c>
      <c r="V1790" s="165">
        <v>50000000</v>
      </c>
      <c r="W1790" s="451">
        <v>0</v>
      </c>
      <c r="X1790" s="163"/>
      <c r="Y1790" s="163"/>
    </row>
    <row r="1791" spans="1:25">
      <c r="A1791" s="162"/>
      <c r="B1791" s="179"/>
      <c r="C1791" s="179"/>
      <c r="D1791" s="179"/>
      <c r="E1791" s="179"/>
      <c r="F1791" s="179"/>
      <c r="G1791" s="179"/>
      <c r="H1791" s="179"/>
      <c r="I1791" s="179"/>
      <c r="J1791" s="179"/>
      <c r="K1791" s="179"/>
      <c r="L1791" s="179"/>
      <c r="M1791" s="179"/>
      <c r="N1791" s="179"/>
      <c r="O1791" s="179"/>
      <c r="P1791" s="179"/>
      <c r="Q1791" s="179"/>
      <c r="R1791" s="179"/>
      <c r="S1791" s="179"/>
      <c r="T1791" s="179"/>
      <c r="U1791" s="170" t="s">
        <v>2057</v>
      </c>
      <c r="V1791" s="165">
        <v>4160000</v>
      </c>
      <c r="W1791" s="451">
        <v>0</v>
      </c>
      <c r="X1791" s="163"/>
      <c r="Y1791" s="163"/>
    </row>
    <row r="1792" spans="1:25">
      <c r="A1792" s="162"/>
      <c r="B1792" s="179"/>
      <c r="C1792" s="179"/>
      <c r="D1792" s="179"/>
      <c r="E1792" s="179"/>
      <c r="F1792" s="179"/>
      <c r="G1792" s="179"/>
      <c r="H1792" s="179"/>
      <c r="I1792" s="179"/>
      <c r="J1792" s="179"/>
      <c r="K1792" s="179"/>
      <c r="L1792" s="179"/>
      <c r="M1792" s="179"/>
      <c r="N1792" s="179"/>
      <c r="O1792" s="179"/>
      <c r="P1792" s="179"/>
      <c r="Q1792" s="179"/>
      <c r="R1792" s="179"/>
      <c r="S1792" s="179"/>
      <c r="T1792" s="179"/>
      <c r="U1792" s="170" t="s">
        <v>1683</v>
      </c>
      <c r="V1792" s="165">
        <v>5000000</v>
      </c>
      <c r="W1792" s="451">
        <v>0</v>
      </c>
      <c r="X1792" s="163"/>
      <c r="Y1792" s="163"/>
    </row>
    <row r="1793" spans="1:25">
      <c r="A1793" s="162"/>
      <c r="B1793" s="179"/>
      <c r="C1793" s="179"/>
      <c r="D1793" s="179"/>
      <c r="E1793" s="179"/>
      <c r="F1793" s="179"/>
      <c r="G1793" s="179"/>
      <c r="H1793" s="179"/>
      <c r="I1793" s="179"/>
      <c r="J1793" s="179"/>
      <c r="K1793" s="179"/>
      <c r="L1793" s="179"/>
      <c r="M1793" s="179"/>
      <c r="N1793" s="179"/>
      <c r="O1793" s="179"/>
      <c r="P1793" s="179"/>
      <c r="Q1793" s="179"/>
      <c r="R1793" s="179"/>
      <c r="S1793" s="179"/>
      <c r="T1793" s="179"/>
      <c r="U1793" s="170" t="s">
        <v>2058</v>
      </c>
      <c r="V1793" s="165">
        <v>5000000</v>
      </c>
      <c r="W1793" s="451">
        <v>0</v>
      </c>
      <c r="X1793" s="163"/>
      <c r="Y1793" s="163"/>
    </row>
    <row r="1794" spans="1:25" s="184" customFormat="1">
      <c r="A1794" s="181"/>
      <c r="B1794" s="182"/>
      <c r="C1794" s="182"/>
      <c r="D1794" s="182"/>
      <c r="E1794" s="182"/>
      <c r="F1794" s="182"/>
      <c r="G1794" s="182"/>
      <c r="H1794" s="182"/>
      <c r="I1794" s="182"/>
      <c r="J1794" s="182"/>
      <c r="K1794" s="182"/>
      <c r="L1794" s="182"/>
      <c r="M1794" s="182"/>
      <c r="N1794" s="182"/>
      <c r="O1794" s="182"/>
      <c r="P1794" s="182"/>
      <c r="Q1794" s="182"/>
      <c r="R1794" s="182"/>
      <c r="S1794" s="182"/>
      <c r="T1794" s="182"/>
      <c r="U1794" s="183"/>
      <c r="V1794" s="168">
        <f t="shared" ref="V1794:Y1794" si="165">SUM(V1786:V1793)</f>
        <v>64160000</v>
      </c>
      <c r="W1794" s="168">
        <f t="shared" ref="W1794:X1794" si="166">SUM(W1786:W1793)</f>
        <v>236409500</v>
      </c>
      <c r="X1794" s="168">
        <f t="shared" si="166"/>
        <v>35000000</v>
      </c>
      <c r="Y1794" s="168">
        <f t="shared" si="165"/>
        <v>35000000</v>
      </c>
    </row>
    <row r="1806" spans="1:25" ht="26.25">
      <c r="A1806" s="187" t="s">
        <v>148</v>
      </c>
      <c r="B1806" s="187"/>
      <c r="C1806" s="187"/>
      <c r="D1806" s="187"/>
      <c r="E1806" s="187"/>
      <c r="F1806" s="187"/>
      <c r="G1806" s="187"/>
      <c r="H1806" s="187"/>
      <c r="I1806" s="187"/>
      <c r="J1806" s="187"/>
      <c r="K1806" s="187"/>
      <c r="L1806" s="187"/>
      <c r="M1806" s="187"/>
      <c r="N1806" s="187"/>
      <c r="O1806" s="187"/>
      <c r="P1806" s="187"/>
      <c r="Q1806" s="187"/>
      <c r="R1806" s="187"/>
      <c r="S1806" s="187"/>
      <c r="T1806" s="187"/>
      <c r="U1806" s="187"/>
      <c r="V1806" s="187"/>
      <c r="W1806" s="356"/>
      <c r="X1806" s="187"/>
      <c r="Y1806" s="187"/>
    </row>
    <row r="1807" spans="1:25" ht="25.5">
      <c r="A1807" s="162"/>
      <c r="B1807" s="163"/>
      <c r="C1807" s="163"/>
      <c r="D1807" s="163"/>
      <c r="E1807" s="163"/>
      <c r="F1807" s="163"/>
      <c r="G1807" s="163"/>
      <c r="H1807" s="163"/>
      <c r="I1807" s="163"/>
      <c r="J1807" s="163"/>
      <c r="K1807" s="163"/>
      <c r="L1807" s="163"/>
      <c r="M1807" s="163"/>
      <c r="N1807" s="163"/>
      <c r="O1807" s="163"/>
      <c r="P1807" s="163"/>
      <c r="Q1807" s="163"/>
      <c r="R1807" s="163"/>
      <c r="S1807" s="163"/>
      <c r="T1807" s="163"/>
      <c r="U1807" s="178" t="s">
        <v>1684</v>
      </c>
      <c r="V1807" s="165"/>
      <c r="W1807" s="451">
        <v>149552000</v>
      </c>
      <c r="X1807" s="165"/>
      <c r="Y1807" s="165"/>
    </row>
    <row r="1808" spans="1:25">
      <c r="A1808" s="162"/>
      <c r="B1808" s="163"/>
      <c r="C1808" s="163"/>
      <c r="D1808" s="163"/>
      <c r="E1808" s="163"/>
      <c r="F1808" s="163"/>
      <c r="G1808" s="163"/>
      <c r="H1808" s="163"/>
      <c r="I1808" s="163"/>
      <c r="J1808" s="163"/>
      <c r="K1808" s="163"/>
      <c r="L1808" s="163"/>
      <c r="M1808" s="163"/>
      <c r="N1808" s="163"/>
      <c r="O1808" s="163"/>
      <c r="P1808" s="163"/>
      <c r="Q1808" s="163"/>
      <c r="R1808" s="163"/>
      <c r="S1808" s="163"/>
      <c r="T1808" s="163"/>
      <c r="U1808" s="178" t="s">
        <v>1685</v>
      </c>
      <c r="V1808" s="165"/>
      <c r="W1808" s="451">
        <v>0</v>
      </c>
      <c r="X1808" s="165"/>
      <c r="Y1808" s="165"/>
    </row>
    <row r="1809" spans="1:25">
      <c r="A1809" s="162"/>
      <c r="B1809" s="179"/>
      <c r="C1809" s="179"/>
      <c r="D1809" s="179"/>
      <c r="E1809" s="179"/>
      <c r="F1809" s="179"/>
      <c r="G1809" s="179"/>
      <c r="H1809" s="179"/>
      <c r="I1809" s="179"/>
      <c r="J1809" s="179"/>
      <c r="K1809" s="179"/>
      <c r="L1809" s="179"/>
      <c r="M1809" s="179"/>
      <c r="N1809" s="179"/>
      <c r="O1809" s="179"/>
      <c r="P1809" s="179"/>
      <c r="Q1809" s="179"/>
      <c r="R1809" s="179"/>
      <c r="S1809" s="179"/>
      <c r="T1809" s="179"/>
      <c r="U1809" s="166" t="s">
        <v>2059</v>
      </c>
      <c r="V1809" s="165">
        <v>15000000</v>
      </c>
      <c r="W1809" s="451">
        <v>0</v>
      </c>
      <c r="X1809" s="163"/>
      <c r="Y1809" s="163"/>
    </row>
    <row r="1810" spans="1:25" s="184" customFormat="1">
      <c r="A1810" s="181"/>
      <c r="B1810" s="182"/>
      <c r="C1810" s="182"/>
      <c r="D1810" s="182"/>
      <c r="E1810" s="182"/>
      <c r="F1810" s="182"/>
      <c r="G1810" s="182"/>
      <c r="H1810" s="182"/>
      <c r="I1810" s="182"/>
      <c r="J1810" s="182"/>
      <c r="K1810" s="182"/>
      <c r="L1810" s="182"/>
      <c r="M1810" s="182"/>
      <c r="N1810" s="182"/>
      <c r="O1810" s="182"/>
      <c r="P1810" s="182"/>
      <c r="Q1810" s="182"/>
      <c r="R1810" s="182"/>
      <c r="S1810" s="182"/>
      <c r="T1810" s="182"/>
      <c r="U1810" s="183"/>
      <c r="V1810" s="168">
        <f t="shared" ref="V1810:Y1810" si="167">SUM(V1807:V1809)</f>
        <v>15000000</v>
      </c>
      <c r="W1810" s="168">
        <f t="shared" si="167"/>
        <v>149552000</v>
      </c>
      <c r="X1810" s="168">
        <f t="shared" si="167"/>
        <v>0</v>
      </c>
      <c r="Y1810" s="168">
        <f t="shared" si="167"/>
        <v>0</v>
      </c>
    </row>
    <row r="1813" spans="1:25" ht="26.25">
      <c r="A1813" s="187" t="s">
        <v>100</v>
      </c>
      <c r="B1813" s="187"/>
      <c r="C1813" s="187"/>
      <c r="D1813" s="187"/>
      <c r="E1813" s="187"/>
      <c r="F1813" s="187"/>
      <c r="G1813" s="187"/>
      <c r="H1813" s="187"/>
      <c r="I1813" s="187"/>
      <c r="J1813" s="187"/>
      <c r="K1813" s="187"/>
      <c r="L1813" s="187"/>
      <c r="M1813" s="187"/>
      <c r="N1813" s="187"/>
      <c r="O1813" s="187"/>
      <c r="P1813" s="187"/>
      <c r="Q1813" s="187"/>
      <c r="R1813" s="187"/>
      <c r="S1813" s="187"/>
      <c r="T1813" s="187"/>
      <c r="U1813" s="187"/>
      <c r="V1813" s="187"/>
      <c r="W1813" s="356"/>
      <c r="X1813" s="187"/>
      <c r="Y1813" s="187"/>
    </row>
    <row r="1814" spans="1:25" ht="25.5">
      <c r="A1814" s="162"/>
      <c r="B1814" s="163"/>
      <c r="C1814" s="163"/>
      <c r="D1814" s="163"/>
      <c r="E1814" s="163"/>
      <c r="F1814" s="163"/>
      <c r="G1814" s="163"/>
      <c r="H1814" s="163"/>
      <c r="I1814" s="163"/>
      <c r="J1814" s="163"/>
      <c r="K1814" s="163"/>
      <c r="L1814" s="163"/>
      <c r="M1814" s="163"/>
      <c r="N1814" s="163"/>
      <c r="O1814" s="163"/>
      <c r="P1814" s="163"/>
      <c r="Q1814" s="163"/>
      <c r="R1814" s="163"/>
      <c r="S1814" s="163"/>
      <c r="T1814" s="163"/>
      <c r="U1814" s="178" t="s">
        <v>1686</v>
      </c>
      <c r="V1814" s="165">
        <v>10000000</v>
      </c>
      <c r="W1814" s="451">
        <v>12000000</v>
      </c>
      <c r="X1814" s="165">
        <v>12600000</v>
      </c>
      <c r="Y1814" s="165">
        <v>13200000</v>
      </c>
    </row>
    <row r="1815" spans="1:25">
      <c r="A1815" s="162"/>
      <c r="B1815" s="163"/>
      <c r="C1815" s="163"/>
      <c r="D1815" s="163"/>
      <c r="E1815" s="163"/>
      <c r="F1815" s="163"/>
      <c r="G1815" s="163"/>
      <c r="H1815" s="163"/>
      <c r="I1815" s="163"/>
      <c r="J1815" s="163"/>
      <c r="K1815" s="163"/>
      <c r="L1815" s="163"/>
      <c r="M1815" s="163"/>
      <c r="N1815" s="163"/>
      <c r="O1815" s="163"/>
      <c r="P1815" s="163"/>
      <c r="Q1815" s="163"/>
      <c r="R1815" s="163"/>
      <c r="S1815" s="163"/>
      <c r="T1815" s="163"/>
      <c r="U1815" s="178" t="s">
        <v>1687</v>
      </c>
      <c r="V1815" s="165">
        <v>300000000.00800002</v>
      </c>
      <c r="W1815" s="451">
        <v>229999988</v>
      </c>
      <c r="X1815" s="165">
        <v>346499987.39999998</v>
      </c>
      <c r="Y1815" s="165">
        <v>362999986.80000001</v>
      </c>
    </row>
    <row r="1816" spans="1:25">
      <c r="A1816" s="162"/>
      <c r="B1816" s="163"/>
      <c r="C1816" s="163"/>
      <c r="D1816" s="163"/>
      <c r="E1816" s="163"/>
      <c r="F1816" s="163"/>
      <c r="G1816" s="163"/>
      <c r="H1816" s="163"/>
      <c r="I1816" s="163"/>
      <c r="J1816" s="163"/>
      <c r="K1816" s="163"/>
      <c r="L1816" s="163"/>
      <c r="M1816" s="163"/>
      <c r="N1816" s="163"/>
      <c r="O1816" s="163"/>
      <c r="P1816" s="163"/>
      <c r="Q1816" s="163"/>
      <c r="R1816" s="163"/>
      <c r="S1816" s="163"/>
      <c r="T1816" s="163"/>
      <c r="U1816" s="178" t="s">
        <v>1688</v>
      </c>
      <c r="V1816" s="165">
        <v>5000000</v>
      </c>
      <c r="W1816" s="451">
        <v>4948200</v>
      </c>
      <c r="X1816" s="165">
        <v>5195610</v>
      </c>
      <c r="Y1816" s="165">
        <v>5443020</v>
      </c>
    </row>
    <row r="1817" spans="1:25" ht="25.5">
      <c r="A1817" s="162"/>
      <c r="B1817" s="163"/>
      <c r="C1817" s="163"/>
      <c r="D1817" s="163"/>
      <c r="E1817" s="163"/>
      <c r="F1817" s="163"/>
      <c r="G1817" s="163"/>
      <c r="H1817" s="163"/>
      <c r="I1817" s="163"/>
      <c r="J1817" s="163"/>
      <c r="K1817" s="163"/>
      <c r="L1817" s="163"/>
      <c r="M1817" s="163"/>
      <c r="N1817" s="163"/>
      <c r="O1817" s="163"/>
      <c r="P1817" s="163"/>
      <c r="Q1817" s="163"/>
      <c r="R1817" s="163"/>
      <c r="S1817" s="163"/>
      <c r="T1817" s="163"/>
      <c r="U1817" s="178" t="s">
        <v>2060</v>
      </c>
      <c r="V1817" s="165">
        <v>25000000</v>
      </c>
      <c r="W1817" s="451">
        <v>28266250</v>
      </c>
      <c r="X1817" s="165">
        <v>29679562.5</v>
      </c>
      <c r="Y1817" s="165">
        <v>31092875</v>
      </c>
    </row>
    <row r="1818" spans="1:25">
      <c r="A1818" s="162"/>
      <c r="B1818" s="163"/>
      <c r="C1818" s="163"/>
      <c r="D1818" s="163"/>
      <c r="E1818" s="163"/>
      <c r="F1818" s="163"/>
      <c r="G1818" s="163"/>
      <c r="H1818" s="163"/>
      <c r="I1818" s="163"/>
      <c r="J1818" s="163"/>
      <c r="K1818" s="163"/>
      <c r="L1818" s="163"/>
      <c r="M1818" s="163"/>
      <c r="N1818" s="163"/>
      <c r="O1818" s="163"/>
      <c r="P1818" s="163"/>
      <c r="Q1818" s="163"/>
      <c r="R1818" s="163"/>
      <c r="S1818" s="163"/>
      <c r="T1818" s="163"/>
      <c r="U1818" s="178" t="s">
        <v>1689</v>
      </c>
      <c r="V1818" s="165">
        <v>20000000</v>
      </c>
      <c r="W1818" s="451">
        <v>25200000</v>
      </c>
      <c r="X1818" s="165">
        <v>26460000</v>
      </c>
      <c r="Y1818" s="165">
        <v>27720000</v>
      </c>
    </row>
    <row r="1819" spans="1:25">
      <c r="A1819" s="162"/>
      <c r="B1819" s="163"/>
      <c r="C1819" s="163"/>
      <c r="D1819" s="163"/>
      <c r="E1819" s="163"/>
      <c r="F1819" s="163"/>
      <c r="G1819" s="163"/>
      <c r="H1819" s="163"/>
      <c r="I1819" s="163"/>
      <c r="J1819" s="163"/>
      <c r="K1819" s="163"/>
      <c r="L1819" s="163"/>
      <c r="M1819" s="163"/>
      <c r="N1819" s="163"/>
      <c r="O1819" s="163"/>
      <c r="P1819" s="163"/>
      <c r="Q1819" s="163"/>
      <c r="R1819" s="163"/>
      <c r="S1819" s="163"/>
      <c r="T1819" s="163"/>
      <c r="U1819" s="178" t="s">
        <v>2061</v>
      </c>
      <c r="V1819" s="165">
        <v>2500000</v>
      </c>
      <c r="W1819" s="451">
        <v>2500000</v>
      </c>
      <c r="X1819" s="165">
        <v>2625000</v>
      </c>
      <c r="Y1819" s="165">
        <v>2750000.0000000005</v>
      </c>
    </row>
    <row r="1820" spans="1:25">
      <c r="A1820" s="162"/>
      <c r="B1820" s="163"/>
      <c r="C1820" s="163"/>
      <c r="D1820" s="163"/>
      <c r="E1820" s="163"/>
      <c r="F1820" s="163"/>
      <c r="G1820" s="163"/>
      <c r="H1820" s="163"/>
      <c r="I1820" s="163"/>
      <c r="J1820" s="163"/>
      <c r="K1820" s="163"/>
      <c r="L1820" s="163"/>
      <c r="M1820" s="163"/>
      <c r="N1820" s="163"/>
      <c r="O1820" s="163"/>
      <c r="P1820" s="163"/>
      <c r="Q1820" s="163"/>
      <c r="R1820" s="163"/>
      <c r="S1820" s="163"/>
      <c r="T1820" s="163"/>
      <c r="U1820" s="178" t="s">
        <v>2062</v>
      </c>
      <c r="V1820" s="165">
        <v>7000000</v>
      </c>
      <c r="W1820" s="451">
        <v>7000000</v>
      </c>
      <c r="X1820" s="165">
        <v>7350000</v>
      </c>
      <c r="Y1820" s="165">
        <v>7700000</v>
      </c>
    </row>
    <row r="1821" spans="1:25">
      <c r="A1821" s="162"/>
      <c r="B1821" s="163"/>
      <c r="C1821" s="163"/>
      <c r="D1821" s="163"/>
      <c r="E1821" s="163"/>
      <c r="F1821" s="163"/>
      <c r="G1821" s="163"/>
      <c r="H1821" s="163"/>
      <c r="I1821" s="163"/>
      <c r="J1821" s="163"/>
      <c r="K1821" s="163"/>
      <c r="L1821" s="163"/>
      <c r="M1821" s="163"/>
      <c r="N1821" s="163"/>
      <c r="O1821" s="163"/>
      <c r="P1821" s="163"/>
      <c r="Q1821" s="163"/>
      <c r="R1821" s="163"/>
      <c r="S1821" s="163"/>
      <c r="T1821" s="163"/>
      <c r="U1821" s="178" t="s">
        <v>1690</v>
      </c>
      <c r="V1821" s="165">
        <v>2500000</v>
      </c>
      <c r="W1821" s="451">
        <v>2500000</v>
      </c>
      <c r="X1821" s="165">
        <v>2625000</v>
      </c>
      <c r="Y1821" s="165">
        <v>2750000</v>
      </c>
    </row>
    <row r="1822" spans="1:25">
      <c r="A1822" s="162"/>
      <c r="B1822" s="163"/>
      <c r="C1822" s="163"/>
      <c r="D1822" s="163"/>
      <c r="E1822" s="163"/>
      <c r="F1822" s="163"/>
      <c r="G1822" s="163"/>
      <c r="H1822" s="163"/>
      <c r="I1822" s="163"/>
      <c r="J1822" s="163"/>
      <c r="K1822" s="163"/>
      <c r="L1822" s="163"/>
      <c r="M1822" s="163"/>
      <c r="N1822" s="163"/>
      <c r="O1822" s="163"/>
      <c r="P1822" s="163"/>
      <c r="Q1822" s="163"/>
      <c r="R1822" s="163"/>
      <c r="S1822" s="163"/>
      <c r="T1822" s="163"/>
      <c r="U1822" s="178" t="s">
        <v>1943</v>
      </c>
      <c r="V1822" s="165">
        <v>5000000</v>
      </c>
      <c r="W1822" s="451">
        <v>5000000</v>
      </c>
      <c r="X1822" s="165">
        <v>5250000</v>
      </c>
      <c r="Y1822" s="165">
        <v>5500000</v>
      </c>
    </row>
    <row r="1823" spans="1:25">
      <c r="A1823" s="162"/>
      <c r="B1823" s="163"/>
      <c r="C1823" s="163"/>
      <c r="D1823" s="163"/>
      <c r="E1823" s="163"/>
      <c r="F1823" s="163"/>
      <c r="G1823" s="163"/>
      <c r="H1823" s="163"/>
      <c r="I1823" s="163"/>
      <c r="J1823" s="163"/>
      <c r="K1823" s="163"/>
      <c r="L1823" s="163"/>
      <c r="M1823" s="163"/>
      <c r="N1823" s="163"/>
      <c r="O1823" s="163"/>
      <c r="P1823" s="163"/>
      <c r="Q1823" s="163"/>
      <c r="R1823" s="163"/>
      <c r="S1823" s="163"/>
      <c r="T1823" s="163"/>
      <c r="U1823" s="178" t="s">
        <v>2063</v>
      </c>
      <c r="V1823" s="165">
        <v>24000000</v>
      </c>
      <c r="W1823" s="451">
        <v>27630292</v>
      </c>
      <c r="X1823" s="165">
        <v>29011806.600000001</v>
      </c>
      <c r="Y1823" s="165">
        <v>30393321.200000003</v>
      </c>
    </row>
    <row r="1824" spans="1:25">
      <c r="A1824" s="162"/>
      <c r="B1824" s="163"/>
      <c r="C1824" s="163"/>
      <c r="D1824" s="163"/>
      <c r="E1824" s="163"/>
      <c r="F1824" s="163"/>
      <c r="G1824" s="163"/>
      <c r="H1824" s="163"/>
      <c r="I1824" s="163"/>
      <c r="J1824" s="163"/>
      <c r="K1824" s="163"/>
      <c r="L1824" s="163"/>
      <c r="M1824" s="163"/>
      <c r="N1824" s="163"/>
      <c r="O1824" s="163"/>
      <c r="P1824" s="163"/>
      <c r="Q1824" s="163"/>
      <c r="R1824" s="163"/>
      <c r="S1824" s="163"/>
      <c r="T1824" s="163"/>
      <c r="U1824" s="178" t="s">
        <v>1691</v>
      </c>
      <c r="V1824" s="165">
        <v>13200000</v>
      </c>
      <c r="W1824" s="451">
        <v>13276000</v>
      </c>
      <c r="X1824" s="165">
        <v>13939800</v>
      </c>
      <c r="Y1824" s="165">
        <v>14603600</v>
      </c>
    </row>
    <row r="1825" spans="1:25">
      <c r="A1825" s="162"/>
      <c r="B1825" s="163"/>
      <c r="C1825" s="163"/>
      <c r="D1825" s="163"/>
      <c r="E1825" s="163"/>
      <c r="F1825" s="163"/>
      <c r="G1825" s="163"/>
      <c r="H1825" s="163"/>
      <c r="I1825" s="163"/>
      <c r="J1825" s="163"/>
      <c r="K1825" s="163"/>
      <c r="L1825" s="163"/>
      <c r="M1825" s="163"/>
      <c r="N1825" s="163"/>
      <c r="O1825" s="163"/>
      <c r="P1825" s="163"/>
      <c r="Q1825" s="163"/>
      <c r="R1825" s="163"/>
      <c r="S1825" s="163"/>
      <c r="T1825" s="163"/>
      <c r="U1825" s="178" t="s">
        <v>1692</v>
      </c>
      <c r="V1825" s="165"/>
      <c r="W1825" s="451">
        <v>100000000</v>
      </c>
      <c r="X1825" s="165">
        <v>105000000</v>
      </c>
      <c r="Y1825" s="165">
        <v>110000000</v>
      </c>
    </row>
    <row r="1826" spans="1:25" s="184" customFormat="1">
      <c r="A1826" s="181"/>
      <c r="B1826" s="182"/>
      <c r="C1826" s="182"/>
      <c r="D1826" s="182"/>
      <c r="E1826" s="182"/>
      <c r="F1826" s="182"/>
      <c r="G1826" s="182"/>
      <c r="H1826" s="182"/>
      <c r="I1826" s="182"/>
      <c r="J1826" s="182"/>
      <c r="K1826" s="182"/>
      <c r="L1826" s="182"/>
      <c r="M1826" s="182"/>
      <c r="N1826" s="182"/>
      <c r="O1826" s="182"/>
      <c r="P1826" s="182"/>
      <c r="Q1826" s="182"/>
      <c r="R1826" s="182"/>
      <c r="S1826" s="182"/>
      <c r="T1826" s="182"/>
      <c r="U1826" s="183"/>
      <c r="V1826" s="168">
        <f t="shared" ref="V1826:Y1826" si="168">SUM(V1814:V1825)</f>
        <v>414200000.00800002</v>
      </c>
      <c r="W1826" s="168">
        <f t="shared" si="168"/>
        <v>458320730</v>
      </c>
      <c r="X1826" s="168">
        <f t="shared" si="168"/>
        <v>586236766.5</v>
      </c>
      <c r="Y1826" s="168">
        <f t="shared" si="168"/>
        <v>614152803</v>
      </c>
    </row>
    <row r="1828" spans="1:25">
      <c r="U1828" s="190" t="s">
        <v>1218</v>
      </c>
    </row>
    <row r="1829" spans="1:25">
      <c r="U1829" s="144" t="s">
        <v>2181</v>
      </c>
      <c r="V1829" s="262">
        <v>458320730</v>
      </c>
    </row>
  </sheetData>
  <mergeCells count="3">
    <mergeCell ref="A1:Y1"/>
    <mergeCell ref="E3:R3"/>
    <mergeCell ref="A31:Y31"/>
  </mergeCells>
  <printOptions horizontalCentered="1"/>
  <pageMargins left="0.59055118110236227" right="0.27559055118110237" top="0.76" bottom="0.56999999999999995" header="0.31496062992125984" footer="0.27559055118110237"/>
  <pageSetup paperSize="9" scale="85" orientation="landscape" r:id="rId1"/>
  <headerFooter>
    <oddHeader>&amp;C&amp;"-,Bold"&amp;22KADUNA STATE GOVERNMENT MULTIYEAR DRAFT ESTIMATES 2017</oddHeader>
    <oddFooter>&amp;C&amp;P</oddFooter>
  </headerFooter>
  <rowBreaks count="65" manualBreakCount="65">
    <brk id="30" max="16383" man="1"/>
    <brk id="119" max="16383" man="1"/>
    <brk id="185" max="16383" man="1"/>
    <brk id="202" max="16383" man="1"/>
    <brk id="225" max="16383" man="1"/>
    <brk id="250" max="16383" man="1"/>
    <brk id="271" max="16383" man="1"/>
    <brk id="305" max="16383" man="1"/>
    <brk id="351" max="16383" man="1"/>
    <brk id="359" max="16383" man="1"/>
    <brk id="407" max="16383" man="1"/>
    <brk id="644" max="16383" man="1"/>
    <brk id="675" max="16383" man="1"/>
    <brk id="689" max="16383" man="1"/>
    <brk id="700" max="16383" man="1"/>
    <brk id="711" max="16383" man="1"/>
    <brk id="724" max="16383" man="1"/>
    <brk id="733" max="16383" man="1"/>
    <brk id="785" max="16383" man="1"/>
    <brk id="815" max="16383" man="1"/>
    <brk id="859" max="16383" man="1"/>
    <brk id="936" max="16383" man="1"/>
    <brk id="962" max="16383" man="1"/>
    <brk id="990" max="16383" man="1"/>
    <brk id="1030" max="16383" man="1"/>
    <brk id="1057" max="16383" man="1"/>
    <brk id="1073" max="16383" man="1"/>
    <brk id="1100" max="16383" man="1"/>
    <brk id="1130" max="16383" man="1"/>
    <brk id="1144" max="16383" man="1"/>
    <brk id="1174" max="16383" man="1"/>
    <brk id="1206" max="16383" man="1"/>
    <brk id="1277" max="16383" man="1"/>
    <brk id="1304" max="16383" man="1"/>
    <brk id="1330" max="16383" man="1"/>
    <brk id="250" max="16383" man="1"/>
    <brk id="1355" max="16383" man="1"/>
    <brk id="1368" max="16383" man="1"/>
    <brk id="1385" max="16383" man="1"/>
    <brk id="1401" max="16383" man="1"/>
    <brk id="1421" max="16383" man="1"/>
    <brk id="1433" max="16383" man="1"/>
    <brk id="1443" max="16383" man="1"/>
    <brk id="1450" max="16383" man="1"/>
    <brk id="1472" max="16383" man="1"/>
    <brk id="1519" max="16383" man="1"/>
    <brk id="1537" max="16383" man="1"/>
    <brk id="1547" max="16383" man="1"/>
    <brk id="1555" max="16383" man="1"/>
    <brk id="1568" max="16383" man="1"/>
    <brk id="1578" max="16383" man="1"/>
    <brk id="271" max="16383" man="1"/>
    <brk id="1617" max="16383" man="1"/>
    <brk id="1630" max="16383" man="1"/>
    <brk id="1642" max="16383" man="1"/>
    <brk id="1401" max="16383" man="1"/>
    <brk id="1651" max="16383" man="1"/>
    <brk id="1661" max="16383" man="1"/>
    <brk id="1693" max="16383" man="1"/>
    <brk id="1717" max="16383" man="1"/>
    <brk id="1746" max="16383" man="1"/>
    <brk id="1760" max="16383" man="1"/>
    <brk id="1784" max="16383" man="1"/>
    <brk id="1805" max="16383" man="1"/>
    <brk id="18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zoomScale="120" zoomScaleNormal="120" workbookViewId="0">
      <selection activeCell="E8" sqref="E8"/>
    </sheetView>
  </sheetViews>
  <sheetFormatPr defaultRowHeight="15.75"/>
  <cols>
    <col min="1" max="1" width="9.140625" style="1"/>
    <col min="2" max="2" width="62.28515625" style="111" customWidth="1"/>
    <col min="3" max="3" width="20.28515625" style="2" hidden="1" customWidth="1"/>
    <col min="4" max="4" width="22.85546875" style="2" customWidth="1"/>
    <col min="5" max="5" width="23.140625" style="320" customWidth="1"/>
    <col min="6" max="6" width="19.5703125" style="109" customWidth="1"/>
    <col min="7" max="7" width="20.140625" style="109" customWidth="1"/>
  </cols>
  <sheetData>
    <row r="1" spans="1:7" s="9" customFormat="1" ht="15">
      <c r="A1" s="515" t="s">
        <v>66</v>
      </c>
      <c r="B1" s="515"/>
      <c r="C1" s="515"/>
      <c r="D1" s="515"/>
      <c r="E1" s="515"/>
      <c r="F1" s="102"/>
      <c r="G1" s="102"/>
    </row>
    <row r="2" spans="1:7" s="9" customFormat="1" ht="15">
      <c r="A2" s="515" t="s">
        <v>97</v>
      </c>
      <c r="B2" s="515"/>
      <c r="C2" s="515"/>
      <c r="D2" s="515"/>
      <c r="E2" s="515"/>
      <c r="F2" s="102"/>
      <c r="G2" s="102"/>
    </row>
    <row r="4" spans="1:7" s="81" customFormat="1" ht="45">
      <c r="A4" s="42" t="s">
        <v>0</v>
      </c>
      <c r="B4" s="43" t="s">
        <v>1</v>
      </c>
      <c r="C4" s="85" t="s">
        <v>2</v>
      </c>
      <c r="D4" s="85" t="s">
        <v>86</v>
      </c>
      <c r="E4" s="317" t="s">
        <v>197</v>
      </c>
      <c r="F4" s="455"/>
      <c r="G4" s="455"/>
    </row>
    <row r="5" spans="1:7">
      <c r="A5" s="7">
        <v>1</v>
      </c>
      <c r="B5" s="121" t="s">
        <v>3</v>
      </c>
      <c r="C5" s="4"/>
      <c r="D5" s="12">
        <f>38851859189+502500-1005000</f>
        <v>38851356689</v>
      </c>
      <c r="E5" s="13">
        <v>15300000000</v>
      </c>
    </row>
    <row r="6" spans="1:7">
      <c r="A6" s="7">
        <v>2</v>
      </c>
      <c r="B6" s="121" t="s">
        <v>2638</v>
      </c>
      <c r="C6" s="4"/>
      <c r="D6" s="13">
        <v>33795300000</v>
      </c>
      <c r="E6" s="13">
        <v>34919424430.146599</v>
      </c>
    </row>
    <row r="7" spans="1:7">
      <c r="A7" s="7">
        <v>3</v>
      </c>
      <c r="B7" s="121" t="s">
        <v>5</v>
      </c>
      <c r="C7" s="4"/>
      <c r="D7" s="13">
        <v>12626460737</v>
      </c>
      <c r="E7" s="13">
        <f>'SUMMARY OF IGR'!D66</f>
        <v>9469838052.75</v>
      </c>
    </row>
    <row r="8" spans="1:7">
      <c r="A8" s="7">
        <v>4</v>
      </c>
      <c r="B8" s="121" t="s">
        <v>69</v>
      </c>
      <c r="C8" s="4"/>
      <c r="D8" s="13">
        <v>45823866438</v>
      </c>
      <c r="E8" s="124">
        <v>50228877278.107018</v>
      </c>
    </row>
    <row r="9" spans="1:7" s="9" customFormat="1">
      <c r="A9" s="6"/>
      <c r="B9" s="103" t="s">
        <v>682</v>
      </c>
      <c r="C9" s="113"/>
      <c r="D9" s="14">
        <f>SUM(D5:D8)</f>
        <v>131096983864</v>
      </c>
      <c r="E9" s="14">
        <f>SUM(E5:E8)</f>
        <v>109918139761.00362</v>
      </c>
      <c r="F9" s="102"/>
      <c r="G9" s="102"/>
    </row>
    <row r="10" spans="1:7">
      <c r="A10" s="7"/>
      <c r="B10" s="121"/>
      <c r="C10" s="4"/>
      <c r="D10" s="15"/>
      <c r="E10" s="13"/>
    </row>
    <row r="11" spans="1:7">
      <c r="A11" s="7"/>
      <c r="B11" s="103" t="s">
        <v>70</v>
      </c>
      <c r="C11" s="4"/>
      <c r="D11" s="15"/>
      <c r="E11" s="13"/>
    </row>
    <row r="12" spans="1:7">
      <c r="A12" s="7">
        <v>5</v>
      </c>
      <c r="B12" s="121" t="s">
        <v>1605</v>
      </c>
      <c r="C12" s="4"/>
      <c r="D12" s="15">
        <v>100000000</v>
      </c>
      <c r="E12" s="13">
        <v>0</v>
      </c>
    </row>
    <row r="13" spans="1:7">
      <c r="A13" s="7">
        <v>6</v>
      </c>
      <c r="B13" s="121" t="s">
        <v>72</v>
      </c>
      <c r="C13" s="4"/>
      <c r="D13" s="15">
        <v>1000000000</v>
      </c>
      <c r="E13" s="13">
        <v>0</v>
      </c>
    </row>
    <row r="14" spans="1:7" s="9" customFormat="1">
      <c r="A14" s="6"/>
      <c r="B14" s="103" t="s">
        <v>685</v>
      </c>
      <c r="C14" s="113"/>
      <c r="D14" s="16">
        <f>SUM(D12:D13)</f>
        <v>1100000000</v>
      </c>
      <c r="E14" s="14">
        <f>SUM(E12:E13)</f>
        <v>0</v>
      </c>
      <c r="F14" s="102"/>
      <c r="G14" s="102"/>
    </row>
    <row r="15" spans="1:7">
      <c r="A15" s="7"/>
      <c r="B15" s="121"/>
      <c r="C15" s="4"/>
      <c r="D15" s="15"/>
      <c r="E15" s="13"/>
    </row>
    <row r="16" spans="1:7">
      <c r="A16" s="7">
        <v>7</v>
      </c>
      <c r="B16" s="103" t="s">
        <v>83</v>
      </c>
      <c r="C16" s="4"/>
      <c r="D16" s="15"/>
      <c r="E16" s="13"/>
    </row>
    <row r="17" spans="1:7">
      <c r="A17" s="7" t="s">
        <v>6</v>
      </c>
      <c r="B17" s="121" t="s">
        <v>2070</v>
      </c>
      <c r="C17" s="4"/>
      <c r="D17" s="15">
        <v>2000000000</v>
      </c>
      <c r="E17" s="13">
        <v>1000000000</v>
      </c>
    </row>
    <row r="18" spans="1:7" s="20" customFormat="1">
      <c r="A18" s="27" t="s">
        <v>7</v>
      </c>
      <c r="B18" s="342" t="s">
        <v>2071</v>
      </c>
      <c r="C18" s="28"/>
      <c r="D18" s="29">
        <v>250000000</v>
      </c>
      <c r="E18" s="33">
        <v>250000000</v>
      </c>
      <c r="F18" s="220"/>
      <c r="G18" s="220"/>
    </row>
    <row r="19" spans="1:7" s="20" customFormat="1">
      <c r="A19" s="27" t="s">
        <v>8</v>
      </c>
      <c r="B19" s="342" t="s">
        <v>2143</v>
      </c>
      <c r="C19" s="28"/>
      <c r="D19" s="29">
        <v>10000000000</v>
      </c>
      <c r="E19" s="33">
        <v>4000315000</v>
      </c>
      <c r="F19" s="220"/>
      <c r="G19" s="220"/>
    </row>
    <row r="20" spans="1:7" s="20" customFormat="1">
      <c r="A20" s="27" t="s">
        <v>9</v>
      </c>
      <c r="B20" s="342" t="s">
        <v>173</v>
      </c>
      <c r="C20" s="28"/>
      <c r="D20" s="29">
        <v>6000000000</v>
      </c>
      <c r="E20" s="33">
        <v>1400000000</v>
      </c>
      <c r="F20" s="220"/>
      <c r="G20" s="220"/>
    </row>
    <row r="21" spans="1:7" s="66" customFormat="1">
      <c r="A21" s="23"/>
      <c r="B21" s="343" t="s">
        <v>11</v>
      </c>
      <c r="C21" s="114"/>
      <c r="D21" s="31">
        <f>SUM(D17:D20)</f>
        <v>18250000000</v>
      </c>
      <c r="E21" s="344">
        <f>SUM(E17:E20)</f>
        <v>6650315000</v>
      </c>
      <c r="F21" s="227"/>
      <c r="G21" s="227"/>
    </row>
    <row r="22" spans="1:7" s="20" customFormat="1">
      <c r="A22" s="27"/>
      <c r="B22" s="342"/>
      <c r="C22" s="28"/>
      <c r="D22" s="29"/>
      <c r="E22" s="33"/>
      <c r="F22" s="220"/>
      <c r="G22" s="220"/>
    </row>
    <row r="23" spans="1:7" s="20" customFormat="1">
      <c r="A23" s="27">
        <v>8</v>
      </c>
      <c r="B23" s="231" t="s">
        <v>12</v>
      </c>
      <c r="C23" s="28"/>
      <c r="D23" s="29"/>
      <c r="E23" s="33"/>
      <c r="F23" s="220"/>
      <c r="G23" s="220"/>
    </row>
    <row r="24" spans="1:7" s="20" customFormat="1" ht="15">
      <c r="A24" s="27" t="s">
        <v>6</v>
      </c>
      <c r="B24" s="342" t="s">
        <v>176</v>
      </c>
      <c r="C24" s="28"/>
      <c r="D24" s="29">
        <v>3111390436.6900001</v>
      </c>
      <c r="E24" s="318">
        <v>3111390436.6900001</v>
      </c>
      <c r="F24" s="220"/>
      <c r="G24" s="220"/>
    </row>
    <row r="25" spans="1:7" s="20" customFormat="1" ht="15">
      <c r="A25" s="27" t="s">
        <v>7</v>
      </c>
      <c r="B25" s="342" t="s">
        <v>177</v>
      </c>
      <c r="C25" s="28"/>
      <c r="D25" s="29">
        <v>176000000</v>
      </c>
      <c r="E25" s="318">
        <v>291743500</v>
      </c>
      <c r="F25" s="220"/>
      <c r="G25" s="220"/>
    </row>
    <row r="26" spans="1:7" s="20" customFormat="1" ht="30">
      <c r="A26" s="27" t="s">
        <v>8</v>
      </c>
      <c r="B26" s="342" t="s">
        <v>178</v>
      </c>
      <c r="C26" s="28"/>
      <c r="D26" s="29">
        <v>409500000</v>
      </c>
      <c r="E26" s="318">
        <v>250000000</v>
      </c>
      <c r="F26" s="220"/>
      <c r="G26" s="220"/>
    </row>
    <row r="27" spans="1:7" ht="30">
      <c r="A27" s="7" t="s">
        <v>9</v>
      </c>
      <c r="B27" s="121" t="s">
        <v>179</v>
      </c>
      <c r="C27" s="4"/>
      <c r="D27" s="15">
        <v>522296940</v>
      </c>
      <c r="E27" s="318">
        <v>692221708</v>
      </c>
    </row>
    <row r="28" spans="1:7" ht="15">
      <c r="A28" s="7" t="s">
        <v>10</v>
      </c>
      <c r="B28" s="121" t="s">
        <v>180</v>
      </c>
      <c r="C28" s="4"/>
      <c r="D28" s="15">
        <v>72000000</v>
      </c>
      <c r="E28" s="318">
        <v>0</v>
      </c>
    </row>
    <row r="29" spans="1:7" ht="15">
      <c r="A29" s="7" t="s">
        <v>13</v>
      </c>
      <c r="B29" s="121" t="s">
        <v>181</v>
      </c>
      <c r="C29" s="4"/>
      <c r="D29" s="15">
        <v>1667973840.1099999</v>
      </c>
      <c r="E29" s="318">
        <v>2591495725.29</v>
      </c>
    </row>
    <row r="30" spans="1:7" ht="15">
      <c r="A30" s="7" t="s">
        <v>14</v>
      </c>
      <c r="B30" s="121" t="s">
        <v>21</v>
      </c>
      <c r="C30" s="4"/>
      <c r="D30" s="15">
        <v>0</v>
      </c>
      <c r="E30" s="319">
        <v>1500000000</v>
      </c>
    </row>
    <row r="31" spans="1:7" ht="15">
      <c r="A31" s="7" t="s">
        <v>15</v>
      </c>
      <c r="B31" s="121" t="s">
        <v>182</v>
      </c>
      <c r="C31" s="4"/>
      <c r="D31" s="15">
        <v>0</v>
      </c>
      <c r="E31" s="319">
        <v>2039154880</v>
      </c>
    </row>
    <row r="32" spans="1:7" ht="15">
      <c r="A32" s="7" t="s">
        <v>16</v>
      </c>
      <c r="B32" s="121" t="s">
        <v>183</v>
      </c>
      <c r="C32" s="4"/>
      <c r="D32" s="15">
        <v>57416572.200000003</v>
      </c>
      <c r="E32" s="319">
        <v>57416572.289999999</v>
      </c>
    </row>
    <row r="33" spans="1:7" s="20" customFormat="1" ht="15">
      <c r="A33" s="27" t="s">
        <v>19</v>
      </c>
      <c r="B33" s="332" t="s">
        <v>2181</v>
      </c>
      <c r="C33" s="28"/>
      <c r="D33" s="29"/>
      <c r="E33" s="318">
        <f>57008087170.91-11744992144.25+61292000+50499998</f>
        <v>45374887024.660004</v>
      </c>
      <c r="F33" s="220"/>
      <c r="G33" s="220"/>
    </row>
    <row r="34" spans="1:7" s="66" customFormat="1" ht="15">
      <c r="A34" s="23"/>
      <c r="B34" s="343" t="s">
        <v>22</v>
      </c>
      <c r="C34" s="114"/>
      <c r="D34" s="31">
        <f>SUM(D24:D33)</f>
        <v>6016577789</v>
      </c>
      <c r="E34" s="31">
        <f>SUM(E24:E33)</f>
        <v>55908309846.930008</v>
      </c>
      <c r="F34" s="227"/>
      <c r="G34" s="227"/>
    </row>
    <row r="35" spans="1:7" s="20" customFormat="1">
      <c r="A35" s="27"/>
      <c r="B35" s="342"/>
      <c r="C35" s="28"/>
      <c r="D35" s="29"/>
      <c r="E35" s="33"/>
      <c r="F35" s="220"/>
      <c r="G35" s="220"/>
    </row>
    <row r="36" spans="1:7" s="20" customFormat="1">
      <c r="A36" s="27">
        <v>9</v>
      </c>
      <c r="B36" s="231" t="s">
        <v>23</v>
      </c>
      <c r="C36" s="28"/>
      <c r="D36" s="29"/>
      <c r="E36" s="33"/>
      <c r="F36" s="220"/>
      <c r="G36" s="220"/>
    </row>
    <row r="37" spans="1:7" s="20" customFormat="1">
      <c r="A37" s="27" t="s">
        <v>6</v>
      </c>
      <c r="B37" s="342" t="s">
        <v>24</v>
      </c>
      <c r="C37" s="28"/>
      <c r="D37" s="29">
        <v>15000000</v>
      </c>
      <c r="E37" s="33">
        <v>15000000</v>
      </c>
      <c r="F37" s="220"/>
      <c r="G37" s="220"/>
    </row>
    <row r="38" spans="1:7" s="20" customFormat="1">
      <c r="A38" s="27" t="s">
        <v>7</v>
      </c>
      <c r="B38" s="342" t="s">
        <v>25</v>
      </c>
      <c r="C38" s="28"/>
      <c r="D38" s="29">
        <v>15000000</v>
      </c>
      <c r="E38" s="33">
        <v>100000000</v>
      </c>
      <c r="F38" s="220"/>
      <c r="G38" s="220"/>
    </row>
    <row r="39" spans="1:7" s="20" customFormat="1">
      <c r="A39" s="27" t="s">
        <v>8</v>
      </c>
      <c r="B39" s="342" t="s">
        <v>2072</v>
      </c>
      <c r="C39" s="28"/>
      <c r="D39" s="29">
        <v>0</v>
      </c>
      <c r="E39" s="33">
        <v>20000000</v>
      </c>
      <c r="F39" s="220"/>
      <c r="G39" s="220"/>
    </row>
    <row r="40" spans="1:7" s="20" customFormat="1">
      <c r="A40" s="27" t="s">
        <v>9</v>
      </c>
      <c r="B40" s="342" t="s">
        <v>186</v>
      </c>
      <c r="C40" s="28"/>
      <c r="D40" s="29">
        <v>0</v>
      </c>
      <c r="E40" s="33">
        <v>10500000</v>
      </c>
      <c r="F40" s="220"/>
      <c r="G40" s="220"/>
    </row>
    <row r="41" spans="1:7" s="20" customFormat="1" ht="30">
      <c r="A41" s="27" t="s">
        <v>10</v>
      </c>
      <c r="B41" s="342" t="s">
        <v>2639</v>
      </c>
      <c r="C41" s="28"/>
      <c r="D41" s="29">
        <v>1800000000</v>
      </c>
      <c r="E41" s="33">
        <v>1800000000</v>
      </c>
      <c r="F41" s="220"/>
      <c r="G41" s="220"/>
    </row>
    <row r="42" spans="1:7" ht="15">
      <c r="A42" s="7" t="s">
        <v>13</v>
      </c>
      <c r="B42" s="121" t="s">
        <v>686</v>
      </c>
      <c r="C42" s="4"/>
      <c r="D42" s="15">
        <v>0</v>
      </c>
      <c r="E42" s="319">
        <v>2000000000</v>
      </c>
    </row>
    <row r="43" spans="1:7" ht="15">
      <c r="A43" s="7" t="s">
        <v>14</v>
      </c>
      <c r="B43" s="121" t="s">
        <v>93</v>
      </c>
      <c r="C43" s="4"/>
      <c r="D43" s="15">
        <v>131447813.40000001</v>
      </c>
      <c r="E43" s="15">
        <v>323789964.19999999</v>
      </c>
    </row>
    <row r="44" spans="1:7">
      <c r="A44" s="7" t="s">
        <v>15</v>
      </c>
      <c r="B44" s="121" t="s">
        <v>687</v>
      </c>
      <c r="C44" s="4"/>
      <c r="D44" s="15">
        <v>63769454</v>
      </c>
      <c r="E44" s="13">
        <v>42817021</v>
      </c>
    </row>
    <row r="45" spans="1:7">
      <c r="A45" s="7" t="s">
        <v>16</v>
      </c>
      <c r="B45" s="121" t="s">
        <v>85</v>
      </c>
      <c r="C45" s="4"/>
      <c r="D45" s="15">
        <v>54071500</v>
      </c>
      <c r="E45" s="13">
        <v>0</v>
      </c>
    </row>
    <row r="46" spans="1:7">
      <c r="A46" s="7" t="s">
        <v>19</v>
      </c>
      <c r="B46" s="121" t="s">
        <v>2641</v>
      </c>
      <c r="C46" s="4"/>
      <c r="D46" s="15">
        <v>0</v>
      </c>
      <c r="E46" s="13">
        <v>54071500</v>
      </c>
    </row>
    <row r="47" spans="1:7">
      <c r="A47" s="7" t="s">
        <v>20</v>
      </c>
      <c r="B47" s="121" t="s">
        <v>688</v>
      </c>
      <c r="C47" s="4"/>
      <c r="D47" s="15">
        <v>0</v>
      </c>
      <c r="E47" s="13">
        <v>69283180.400000006</v>
      </c>
    </row>
    <row r="48" spans="1:7" s="20" customFormat="1">
      <c r="A48" s="77" t="s">
        <v>17</v>
      </c>
      <c r="B48" s="32" t="s">
        <v>2640</v>
      </c>
      <c r="C48" s="32"/>
      <c r="D48" s="29"/>
      <c r="E48" s="33">
        <v>700000000</v>
      </c>
      <c r="F48" s="220"/>
      <c r="G48" s="220"/>
    </row>
    <row r="49" spans="1:7" s="20" customFormat="1">
      <c r="A49" s="77" t="s">
        <v>18</v>
      </c>
      <c r="B49" s="32" t="s">
        <v>2180</v>
      </c>
      <c r="C49" s="32"/>
      <c r="D49" s="29"/>
      <c r="E49" s="33">
        <v>2000000000</v>
      </c>
      <c r="F49" s="220"/>
      <c r="G49" s="220"/>
    </row>
    <row r="50" spans="1:7" s="9" customFormat="1">
      <c r="A50" s="6"/>
      <c r="B50" s="123" t="s">
        <v>38</v>
      </c>
      <c r="C50" s="113"/>
      <c r="D50" s="16">
        <f>SUM(D37:D47)</f>
        <v>2079288767.4000001</v>
      </c>
      <c r="E50" s="14">
        <f>SUM(E37:E49)</f>
        <v>7135461665.5999994</v>
      </c>
      <c r="F50" s="102"/>
      <c r="G50" s="102"/>
    </row>
    <row r="51" spans="1:7">
      <c r="A51" s="7"/>
      <c r="B51" s="121"/>
      <c r="C51" s="4"/>
      <c r="D51" s="15"/>
      <c r="E51" s="13"/>
    </row>
    <row r="52" spans="1:7">
      <c r="A52" s="7">
        <v>10</v>
      </c>
      <c r="B52" s="103" t="s">
        <v>27</v>
      </c>
      <c r="C52" s="4"/>
      <c r="D52" s="15"/>
      <c r="E52" s="13"/>
    </row>
    <row r="53" spans="1:7">
      <c r="A53" s="27" t="s">
        <v>6</v>
      </c>
      <c r="B53" s="121" t="s">
        <v>87</v>
      </c>
      <c r="C53" s="4"/>
      <c r="D53" s="15">
        <v>161000000</v>
      </c>
      <c r="E53" s="13">
        <v>60000000</v>
      </c>
    </row>
    <row r="54" spans="1:7">
      <c r="A54" s="27" t="s">
        <v>7</v>
      </c>
      <c r="B54" s="121" t="s">
        <v>1087</v>
      </c>
      <c r="C54" s="4"/>
      <c r="D54" s="15">
        <v>0</v>
      </c>
      <c r="E54" s="13">
        <v>11500000</v>
      </c>
    </row>
    <row r="55" spans="1:7">
      <c r="A55" s="27" t="s">
        <v>8</v>
      </c>
      <c r="B55" s="121" t="s">
        <v>689</v>
      </c>
      <c r="C55" s="4"/>
      <c r="D55" s="15">
        <v>0</v>
      </c>
      <c r="E55" s="13">
        <v>438376878.38</v>
      </c>
    </row>
    <row r="56" spans="1:7">
      <c r="A56" s="27" t="s">
        <v>9</v>
      </c>
      <c r="B56" s="121" t="s">
        <v>691</v>
      </c>
      <c r="C56" s="4"/>
      <c r="D56" s="15">
        <v>2937999835.9200001</v>
      </c>
      <c r="E56" s="13">
        <v>521013513.50999999</v>
      </c>
    </row>
    <row r="57" spans="1:7">
      <c r="A57" s="27" t="s">
        <v>10</v>
      </c>
      <c r="B57" s="121" t="s">
        <v>692</v>
      </c>
      <c r="C57" s="4"/>
      <c r="D57" s="15">
        <v>0</v>
      </c>
      <c r="E57" s="13">
        <v>494962837.84500003</v>
      </c>
    </row>
    <row r="58" spans="1:7">
      <c r="A58" s="27" t="s">
        <v>13</v>
      </c>
      <c r="B58" s="121" t="s">
        <v>89</v>
      </c>
      <c r="C58" s="4"/>
      <c r="D58" s="15">
        <v>750000000</v>
      </c>
      <c r="E58" s="13">
        <v>0</v>
      </c>
    </row>
    <row r="59" spans="1:7" ht="30">
      <c r="A59" s="27" t="s">
        <v>14</v>
      </c>
      <c r="B59" s="121" t="s">
        <v>690</v>
      </c>
      <c r="C59" s="4"/>
      <c r="D59" s="15">
        <v>68889138.989999995</v>
      </c>
      <c r="E59" s="13">
        <v>31725692.225000001</v>
      </c>
    </row>
    <row r="60" spans="1:7">
      <c r="A60" s="27" t="s">
        <v>15</v>
      </c>
      <c r="B60" s="121" t="s">
        <v>693</v>
      </c>
      <c r="C60" s="4"/>
      <c r="D60" s="15">
        <v>850104168.64999998</v>
      </c>
      <c r="E60" s="13">
        <v>251900000</v>
      </c>
    </row>
    <row r="61" spans="1:7">
      <c r="A61" s="27" t="s">
        <v>16</v>
      </c>
      <c r="B61" s="121" t="s">
        <v>693</v>
      </c>
      <c r="C61" s="4"/>
      <c r="D61" s="15">
        <v>492505333.52999997</v>
      </c>
      <c r="E61" s="13">
        <v>90286652.790000007</v>
      </c>
    </row>
    <row r="62" spans="1:7">
      <c r="A62" s="27" t="s">
        <v>19</v>
      </c>
      <c r="B62" s="121" t="s">
        <v>40</v>
      </c>
      <c r="C62" s="4"/>
      <c r="D62" s="15">
        <v>1500000000</v>
      </c>
      <c r="E62" s="13">
        <v>0</v>
      </c>
    </row>
    <row r="63" spans="1:7">
      <c r="A63" s="27" t="s">
        <v>20</v>
      </c>
      <c r="B63" s="121" t="s">
        <v>88</v>
      </c>
      <c r="C63" s="4"/>
      <c r="D63" s="15">
        <v>1350492887.0799999</v>
      </c>
      <c r="E63" s="13">
        <v>0</v>
      </c>
    </row>
    <row r="64" spans="1:7">
      <c r="A64" s="27" t="s">
        <v>17</v>
      </c>
      <c r="B64" s="121" t="s">
        <v>41</v>
      </c>
      <c r="C64" s="4"/>
      <c r="D64" s="15">
        <v>661000000</v>
      </c>
      <c r="E64" s="13">
        <v>251000000</v>
      </c>
    </row>
    <row r="65" spans="1:7">
      <c r="A65" s="27" t="s">
        <v>18</v>
      </c>
      <c r="B65" s="121" t="s">
        <v>35</v>
      </c>
      <c r="C65" s="4"/>
      <c r="D65" s="15">
        <v>240000000</v>
      </c>
      <c r="E65" s="13">
        <v>0</v>
      </c>
    </row>
    <row r="66" spans="1:7">
      <c r="A66" s="27" t="s">
        <v>28</v>
      </c>
      <c r="B66" s="121" t="s">
        <v>36</v>
      </c>
      <c r="C66" s="4"/>
      <c r="D66" s="15">
        <v>3072659149</v>
      </c>
      <c r="E66" s="13">
        <v>2112772890.605</v>
      </c>
    </row>
    <row r="67" spans="1:7">
      <c r="A67" s="27" t="s">
        <v>29</v>
      </c>
      <c r="B67" s="121" t="s">
        <v>37</v>
      </c>
      <c r="C67" s="4"/>
      <c r="D67" s="15">
        <v>407038817</v>
      </c>
      <c r="E67" s="13">
        <v>117913819.56999999</v>
      </c>
    </row>
    <row r="68" spans="1:7">
      <c r="A68" s="27" t="s">
        <v>30</v>
      </c>
      <c r="B68" s="121" t="s">
        <v>694</v>
      </c>
      <c r="C68" s="4"/>
      <c r="D68" s="15">
        <v>624339687</v>
      </c>
      <c r="E68" s="13">
        <v>237814597.22</v>
      </c>
    </row>
    <row r="69" spans="1:7">
      <c r="A69" s="27" t="s">
        <v>31</v>
      </c>
      <c r="B69" s="121" t="s">
        <v>695</v>
      </c>
      <c r="C69" s="4"/>
      <c r="D69" s="15">
        <v>63769454</v>
      </c>
      <c r="E69" s="13">
        <v>42817021</v>
      </c>
    </row>
    <row r="70" spans="1:7">
      <c r="A70" s="7" t="s">
        <v>32</v>
      </c>
      <c r="B70" s="121" t="s">
        <v>71</v>
      </c>
      <c r="C70" s="4"/>
      <c r="D70" s="15">
        <v>600000000</v>
      </c>
      <c r="E70" s="13">
        <v>0</v>
      </c>
    </row>
    <row r="71" spans="1:7" ht="30">
      <c r="A71" s="7" t="s">
        <v>33</v>
      </c>
      <c r="B71" s="121" t="s">
        <v>2067</v>
      </c>
      <c r="C71" s="4"/>
      <c r="D71" s="15">
        <v>0</v>
      </c>
      <c r="E71" s="13">
        <v>1500000000</v>
      </c>
    </row>
    <row r="72" spans="1:7" ht="45">
      <c r="A72" s="7" t="s">
        <v>34</v>
      </c>
      <c r="B72" s="121" t="s">
        <v>2066</v>
      </c>
      <c r="C72" s="4"/>
      <c r="D72" s="15">
        <v>0</v>
      </c>
      <c r="E72" s="13">
        <f>13411941327.42+1330058672.58</f>
        <v>14742000000</v>
      </c>
    </row>
    <row r="73" spans="1:7" s="20" customFormat="1">
      <c r="A73" s="27" t="s">
        <v>2644</v>
      </c>
      <c r="B73" s="332" t="s">
        <v>2189</v>
      </c>
      <c r="C73" s="28"/>
      <c r="D73" s="29"/>
      <c r="E73" s="33">
        <v>14400000000</v>
      </c>
      <c r="F73" s="220"/>
      <c r="G73" s="220"/>
    </row>
    <row r="74" spans="1:7" s="20" customFormat="1">
      <c r="A74" s="27" t="s">
        <v>2645</v>
      </c>
      <c r="B74" s="332" t="s">
        <v>2646</v>
      </c>
      <c r="C74" s="28"/>
      <c r="D74" s="29"/>
      <c r="E74" s="33">
        <v>4800000</v>
      </c>
      <c r="F74" s="220"/>
      <c r="G74" s="220"/>
    </row>
    <row r="75" spans="1:7" s="9" customFormat="1">
      <c r="A75" s="6"/>
      <c r="B75" s="123" t="s">
        <v>42</v>
      </c>
      <c r="C75" s="113"/>
      <c r="D75" s="16">
        <f>SUM(D52:D72)</f>
        <v>13779798471.169998</v>
      </c>
      <c r="E75" s="14">
        <f>SUM(E53:E74)</f>
        <v>35308883903.145004</v>
      </c>
      <c r="F75" s="102"/>
      <c r="G75" s="102"/>
    </row>
    <row r="76" spans="1:7" s="9" customFormat="1">
      <c r="A76" s="6"/>
      <c r="B76" s="123" t="s">
        <v>84</v>
      </c>
      <c r="C76" s="113"/>
      <c r="D76" s="16">
        <f>D9+D14+D21+D34+D50+D75</f>
        <v>172322648891.57001</v>
      </c>
      <c r="E76" s="14">
        <f>E75+E50+E34+E21+E14+E9</f>
        <v>214921110176.67865</v>
      </c>
      <c r="F76" s="102"/>
      <c r="G76" s="102"/>
    </row>
  </sheetData>
  <mergeCells count="2">
    <mergeCell ref="A1:E1"/>
    <mergeCell ref="A2:E2"/>
  </mergeCells>
  <printOptions horizontalCentered="1"/>
  <pageMargins left="0.86614173228346458" right="0.51181102362204722" top="0.55118110236220474" bottom="0.59055118110236227" header="0.31496062992125984" footer="0.31496062992125984"/>
  <pageSetup paperSize="9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opLeftCell="A4" zoomScale="120" zoomScaleNormal="120" workbookViewId="0">
      <selection activeCell="E7" sqref="E7"/>
    </sheetView>
  </sheetViews>
  <sheetFormatPr defaultRowHeight="15"/>
  <cols>
    <col min="2" max="2" width="64.7109375" customWidth="1"/>
    <col min="3" max="3" width="17.7109375" hidden="1" customWidth="1"/>
    <col min="4" max="4" width="24.7109375" customWidth="1"/>
    <col min="5" max="5" width="24.28515625" style="118" customWidth="1"/>
    <col min="6" max="6" width="20" style="109" customWidth="1"/>
    <col min="7" max="7" width="18.42578125" bestFit="1" customWidth="1"/>
  </cols>
  <sheetData>
    <row r="1" spans="1:7">
      <c r="A1" s="516" t="s">
        <v>66</v>
      </c>
      <c r="B1" s="516"/>
      <c r="C1" s="516"/>
      <c r="D1" s="516"/>
      <c r="E1" s="516"/>
    </row>
    <row r="2" spans="1:7">
      <c r="A2" s="516" t="s">
        <v>98</v>
      </c>
      <c r="B2" s="516"/>
      <c r="C2" s="516"/>
      <c r="D2" s="516"/>
      <c r="E2" s="516"/>
    </row>
    <row r="3" spans="1:7">
      <c r="A3" s="21"/>
      <c r="B3" s="20"/>
      <c r="C3" s="22"/>
      <c r="D3" s="22"/>
      <c r="E3" s="116"/>
    </row>
    <row r="4" spans="1:7" ht="36" customHeight="1">
      <c r="A4" s="84"/>
      <c r="B4" s="84" t="s">
        <v>1</v>
      </c>
      <c r="C4" s="24" t="s">
        <v>2</v>
      </c>
      <c r="D4" s="24" t="s">
        <v>91</v>
      </c>
      <c r="E4" s="117" t="s">
        <v>196</v>
      </c>
    </row>
    <row r="5" spans="1:7">
      <c r="A5" s="23"/>
      <c r="B5" s="25" t="s">
        <v>49</v>
      </c>
      <c r="C5" s="26"/>
      <c r="D5" s="26"/>
      <c r="E5" s="29"/>
    </row>
    <row r="6" spans="1:7">
      <c r="A6" s="77">
        <v>1</v>
      </c>
      <c r="B6" s="32" t="s">
        <v>92</v>
      </c>
      <c r="C6" s="28"/>
      <c r="D6" s="29">
        <v>38851356689</v>
      </c>
      <c r="E6" s="29">
        <f>'2. RECIEPTS SUMM'!E5</f>
        <v>15300000000</v>
      </c>
      <c r="G6" s="109"/>
    </row>
    <row r="7" spans="1:7">
      <c r="A7" s="77">
        <v>2</v>
      </c>
      <c r="B7" s="32" t="s">
        <v>50</v>
      </c>
      <c r="C7" s="28"/>
      <c r="D7" s="29">
        <v>45823866438</v>
      </c>
      <c r="E7" s="124">
        <v>50228877278.107018</v>
      </c>
    </row>
    <row r="8" spans="1:7">
      <c r="A8" s="77">
        <v>3</v>
      </c>
      <c r="B8" s="32" t="s">
        <v>2642</v>
      </c>
      <c r="C8" s="28"/>
      <c r="D8" s="29">
        <v>33795300000</v>
      </c>
      <c r="E8" s="29">
        <f>'1. GEN SUMMARY'!D6</f>
        <v>34919424430.146599</v>
      </c>
      <c r="G8" s="18"/>
    </row>
    <row r="9" spans="1:7" s="9" customFormat="1">
      <c r="A9" s="23"/>
      <c r="B9" s="30" t="s">
        <v>51</v>
      </c>
      <c r="C9" s="114"/>
      <c r="D9" s="31">
        <f>SUM(D6:D8)</f>
        <v>118470523127</v>
      </c>
      <c r="E9" s="31">
        <f>SUM(E6:E8)</f>
        <v>100448301708.25362</v>
      </c>
      <c r="F9" s="102"/>
    </row>
    <row r="10" spans="1:7" s="9" customFormat="1">
      <c r="A10" s="23">
        <v>1</v>
      </c>
      <c r="B10" s="30" t="s">
        <v>52</v>
      </c>
      <c r="C10" s="114"/>
      <c r="D10" s="31">
        <v>54420550885</v>
      </c>
      <c r="E10" s="31">
        <v>16987808912.72438</v>
      </c>
      <c r="F10" s="102"/>
    </row>
    <row r="11" spans="1:7">
      <c r="A11" s="77">
        <v>2</v>
      </c>
      <c r="B11" s="32" t="s">
        <v>53</v>
      </c>
      <c r="C11" s="28"/>
      <c r="D11" s="29">
        <v>3580000000</v>
      </c>
      <c r="E11" s="29">
        <v>4118669349</v>
      </c>
      <c r="G11" s="35"/>
    </row>
    <row r="12" spans="1:7">
      <c r="A12" s="77">
        <v>3</v>
      </c>
      <c r="B12" s="32" t="s">
        <v>54</v>
      </c>
      <c r="C12" s="28"/>
      <c r="D12" s="29">
        <v>58924604704</v>
      </c>
      <c r="E12" s="29">
        <v>77123566708.529236</v>
      </c>
      <c r="G12" s="220"/>
    </row>
    <row r="13" spans="1:7">
      <c r="A13" s="77">
        <v>4</v>
      </c>
      <c r="B13" s="32" t="s">
        <v>55</v>
      </c>
      <c r="C13" s="28"/>
      <c r="D13" s="29">
        <v>966000000</v>
      </c>
      <c r="E13" s="29">
        <v>923689200</v>
      </c>
      <c r="G13" s="35"/>
    </row>
    <row r="14" spans="1:7">
      <c r="A14" s="77">
        <v>5</v>
      </c>
      <c r="B14" s="32" t="s">
        <v>56</v>
      </c>
      <c r="C14" s="28"/>
      <c r="D14" s="29">
        <v>579367538</v>
      </c>
      <c r="E14" s="29">
        <v>1299367538</v>
      </c>
      <c r="G14" s="35"/>
    </row>
    <row r="15" spans="1:7">
      <c r="A15" s="77"/>
      <c r="B15" s="30" t="s">
        <v>57</v>
      </c>
      <c r="C15" s="28"/>
      <c r="D15" s="31" t="s">
        <v>68</v>
      </c>
      <c r="E15" s="29">
        <f>SUM(E11:E14)</f>
        <v>83465292795.529236</v>
      </c>
      <c r="G15" s="35"/>
    </row>
    <row r="16" spans="1:7">
      <c r="A16" s="77"/>
      <c r="B16" s="30" t="s">
        <v>63</v>
      </c>
      <c r="C16" s="28"/>
      <c r="D16" s="31"/>
      <c r="E16" s="29">
        <f>E9-E15</f>
        <v>16983008912.72438</v>
      </c>
      <c r="G16" s="459"/>
    </row>
    <row r="17" spans="1:7" s="38" customFormat="1">
      <c r="A17" s="77">
        <v>1</v>
      </c>
      <c r="B17" s="32" t="s">
        <v>59</v>
      </c>
      <c r="C17" s="28"/>
      <c r="D17" s="29">
        <v>0</v>
      </c>
      <c r="E17" s="29"/>
      <c r="F17" s="109"/>
      <c r="G17" s="479"/>
    </row>
    <row r="18" spans="1:7" s="38" customFormat="1" ht="15.75">
      <c r="A18" s="77">
        <v>2</v>
      </c>
      <c r="B18" s="32" t="s">
        <v>5</v>
      </c>
      <c r="C18" s="28"/>
      <c r="D18" s="33">
        <v>12626460737</v>
      </c>
      <c r="E18" s="29">
        <f>'1. GEN SUMMARY'!D17</f>
        <v>9469838052.75</v>
      </c>
      <c r="F18" s="109"/>
    </row>
    <row r="19" spans="1:7" s="9" customFormat="1">
      <c r="A19" s="23">
        <v>3</v>
      </c>
      <c r="B19" s="30" t="s">
        <v>58</v>
      </c>
      <c r="C19" s="114"/>
      <c r="D19" s="31">
        <v>54420550885</v>
      </c>
      <c r="E19" s="31">
        <v>16987808912.72438</v>
      </c>
      <c r="F19" s="102"/>
    </row>
    <row r="20" spans="1:7">
      <c r="A20" s="77">
        <v>4</v>
      </c>
      <c r="B20" s="32" t="s">
        <v>1605</v>
      </c>
      <c r="C20" s="28"/>
      <c r="D20" s="29">
        <v>100000000</v>
      </c>
      <c r="E20" s="29">
        <f>'2. RECIEPTS SUMM'!E12</f>
        <v>0</v>
      </c>
    </row>
    <row r="21" spans="1:7">
      <c r="A21" s="77">
        <v>5</v>
      </c>
      <c r="B21" s="32" t="s">
        <v>72</v>
      </c>
      <c r="C21" s="28"/>
      <c r="D21" s="29">
        <v>1000000000</v>
      </c>
      <c r="E21" s="29">
        <f>'2. RECIEPTS SUMM'!E13</f>
        <v>0</v>
      </c>
    </row>
    <row r="22" spans="1:7" s="9" customFormat="1">
      <c r="A22" s="23"/>
      <c r="B22" s="30" t="s">
        <v>697</v>
      </c>
      <c r="C22" s="114"/>
      <c r="D22" s="31">
        <f>SUM(D18:D21)</f>
        <v>68147011622</v>
      </c>
      <c r="E22" s="31">
        <f>SUM(E20:E21)</f>
        <v>0</v>
      </c>
      <c r="F22" s="102"/>
    </row>
    <row r="23" spans="1:7">
      <c r="A23" s="77"/>
      <c r="B23" s="32"/>
      <c r="C23" s="28"/>
      <c r="D23" s="29"/>
      <c r="E23" s="29"/>
    </row>
    <row r="24" spans="1:7">
      <c r="A24" s="77">
        <v>6</v>
      </c>
      <c r="B24" s="30" t="s">
        <v>83</v>
      </c>
      <c r="C24" s="28"/>
      <c r="D24" s="29"/>
      <c r="E24" s="29"/>
    </row>
    <row r="25" spans="1:7">
      <c r="A25" s="77" t="s">
        <v>6</v>
      </c>
      <c r="B25" s="32" t="s">
        <v>2070</v>
      </c>
      <c r="C25" s="28"/>
      <c r="D25" s="29">
        <v>2000000000</v>
      </c>
      <c r="E25" s="29">
        <f>'2. RECIEPTS SUMM'!E17</f>
        <v>1000000000</v>
      </c>
    </row>
    <row r="26" spans="1:7" s="20" customFormat="1">
      <c r="A26" s="77" t="s">
        <v>7</v>
      </c>
      <c r="B26" s="32" t="s">
        <v>2073</v>
      </c>
      <c r="C26" s="28"/>
      <c r="D26" s="29">
        <v>250000000</v>
      </c>
      <c r="E26" s="29">
        <f>'2. RECIEPTS SUMM'!E18</f>
        <v>250000000</v>
      </c>
      <c r="F26" s="220"/>
    </row>
    <row r="27" spans="1:7" s="20" customFormat="1">
      <c r="A27" s="77" t="s">
        <v>8</v>
      </c>
      <c r="B27" s="32" t="s">
        <v>2143</v>
      </c>
      <c r="C27" s="28"/>
      <c r="D27" s="29">
        <v>10000000000</v>
      </c>
      <c r="E27" s="29">
        <f>'2. RECIEPTS SUMM'!E19</f>
        <v>4000315000</v>
      </c>
      <c r="F27" s="220"/>
    </row>
    <row r="28" spans="1:7" s="20" customFormat="1">
      <c r="A28" s="77" t="s">
        <v>9</v>
      </c>
      <c r="B28" s="342" t="s">
        <v>173</v>
      </c>
      <c r="C28" s="28"/>
      <c r="D28" s="29">
        <v>6000000000</v>
      </c>
      <c r="E28" s="29">
        <f>'2. RECIEPTS SUMM'!E20</f>
        <v>1400000000</v>
      </c>
      <c r="F28" s="220"/>
    </row>
    <row r="29" spans="1:7" s="66" customFormat="1">
      <c r="A29" s="23"/>
      <c r="B29" s="34" t="s">
        <v>11</v>
      </c>
      <c r="C29" s="114"/>
      <c r="D29" s="31">
        <f>SUM(D25:D28)</f>
        <v>18250000000</v>
      </c>
      <c r="E29" s="31">
        <f>SUM(E25:E28)</f>
        <v>6650315000</v>
      </c>
      <c r="F29" s="227"/>
    </row>
    <row r="30" spans="1:7" s="20" customFormat="1">
      <c r="A30" s="77"/>
      <c r="B30" s="32"/>
      <c r="C30" s="28"/>
      <c r="D30" s="29"/>
      <c r="E30" s="29"/>
      <c r="F30" s="220"/>
    </row>
    <row r="31" spans="1:7" s="20" customFormat="1">
      <c r="A31" s="77">
        <v>7</v>
      </c>
      <c r="B31" s="30" t="s">
        <v>12</v>
      </c>
      <c r="C31" s="28"/>
      <c r="D31" s="29"/>
      <c r="E31" s="29"/>
      <c r="F31" s="220"/>
    </row>
    <row r="32" spans="1:7" s="20" customFormat="1">
      <c r="A32" s="77" t="s">
        <v>6</v>
      </c>
      <c r="B32" s="32" t="s">
        <v>176</v>
      </c>
      <c r="C32" s="28"/>
      <c r="D32" s="29">
        <v>3111390436.6900001</v>
      </c>
      <c r="E32" s="29">
        <f>'2. RECIEPTS SUMM'!E24</f>
        <v>3111390436.6900001</v>
      </c>
      <c r="F32" s="220"/>
    </row>
    <row r="33" spans="1:6" s="20" customFormat="1">
      <c r="A33" s="77" t="s">
        <v>7</v>
      </c>
      <c r="B33" s="32" t="s">
        <v>177</v>
      </c>
      <c r="C33" s="28"/>
      <c r="D33" s="29">
        <v>176000000</v>
      </c>
      <c r="E33" s="29">
        <f>'2. RECIEPTS SUMM'!E25</f>
        <v>291743500</v>
      </c>
      <c r="F33" s="220"/>
    </row>
    <row r="34" spans="1:6" s="20" customFormat="1">
      <c r="A34" s="77" t="s">
        <v>8</v>
      </c>
      <c r="B34" s="32" t="s">
        <v>178</v>
      </c>
      <c r="C34" s="28"/>
      <c r="D34" s="29">
        <v>409500000</v>
      </c>
      <c r="E34" s="29">
        <f>'2. RECIEPTS SUMM'!E26</f>
        <v>250000000</v>
      </c>
      <c r="F34" s="220"/>
    </row>
    <row r="35" spans="1:6" s="20" customFormat="1">
      <c r="A35" s="77" t="s">
        <v>9</v>
      </c>
      <c r="B35" s="32" t="s">
        <v>179</v>
      </c>
      <c r="C35" s="28"/>
      <c r="D35" s="29">
        <v>522296940</v>
      </c>
      <c r="E35" s="29">
        <f>'2. RECIEPTS SUMM'!E27</f>
        <v>692221708</v>
      </c>
      <c r="F35" s="220"/>
    </row>
    <row r="36" spans="1:6" s="20" customFormat="1">
      <c r="A36" s="77" t="s">
        <v>10</v>
      </c>
      <c r="B36" s="32" t="s">
        <v>180</v>
      </c>
      <c r="C36" s="28"/>
      <c r="D36" s="29">
        <v>72000000</v>
      </c>
      <c r="E36" s="29">
        <f>'2. RECIEPTS SUMM'!E28</f>
        <v>0</v>
      </c>
      <c r="F36" s="220"/>
    </row>
    <row r="37" spans="1:6" s="20" customFormat="1">
      <c r="A37" s="77" t="s">
        <v>13</v>
      </c>
      <c r="B37" s="32" t="s">
        <v>181</v>
      </c>
      <c r="C37" s="28"/>
      <c r="D37" s="29">
        <v>1667973840.1099999</v>
      </c>
      <c r="E37" s="29">
        <f>'2. RECIEPTS SUMM'!E29</f>
        <v>2591495725.29</v>
      </c>
      <c r="F37" s="220"/>
    </row>
    <row r="38" spans="1:6" s="20" customFormat="1">
      <c r="A38" s="77" t="s">
        <v>14</v>
      </c>
      <c r="B38" s="32" t="s">
        <v>21</v>
      </c>
      <c r="C38" s="28"/>
      <c r="D38" s="29">
        <v>0</v>
      </c>
      <c r="E38" s="29">
        <f>'2. RECIEPTS SUMM'!E30</f>
        <v>1500000000</v>
      </c>
      <c r="F38" s="220"/>
    </row>
    <row r="39" spans="1:6" s="20" customFormat="1">
      <c r="A39" s="77" t="s">
        <v>15</v>
      </c>
      <c r="B39" s="32" t="s">
        <v>182</v>
      </c>
      <c r="C39" s="28"/>
      <c r="D39" s="29">
        <v>0</v>
      </c>
      <c r="E39" s="29">
        <f>'2. RECIEPTS SUMM'!E31</f>
        <v>2039154880</v>
      </c>
      <c r="F39" s="220"/>
    </row>
    <row r="40" spans="1:6" s="20" customFormat="1">
      <c r="A40" s="77" t="s">
        <v>16</v>
      </c>
      <c r="B40" s="32" t="s">
        <v>183</v>
      </c>
      <c r="C40" s="28"/>
      <c r="D40" s="29">
        <v>57416572.200000003</v>
      </c>
      <c r="E40" s="29">
        <f>'2. RECIEPTS SUMM'!E32</f>
        <v>57416572.289999999</v>
      </c>
      <c r="F40" s="220"/>
    </row>
    <row r="41" spans="1:6" s="20" customFormat="1">
      <c r="A41" s="77" t="s">
        <v>19</v>
      </c>
      <c r="B41" s="332" t="s">
        <v>2181</v>
      </c>
      <c r="C41" s="28"/>
      <c r="D41" s="29"/>
      <c r="E41" s="29">
        <f>'2. RECIEPTS SUMM'!E33</f>
        <v>45374887024.660004</v>
      </c>
      <c r="F41" s="220"/>
    </row>
    <row r="42" spans="1:6" s="66" customFormat="1">
      <c r="A42" s="23"/>
      <c r="B42" s="34" t="s">
        <v>22</v>
      </c>
      <c r="C42" s="114"/>
      <c r="D42" s="31">
        <f>SUM(D32:D41)</f>
        <v>6016577789</v>
      </c>
      <c r="E42" s="31">
        <f>SUM(E32:E41)</f>
        <v>55908309846.930008</v>
      </c>
      <c r="F42" s="227"/>
    </row>
    <row r="43" spans="1:6" s="20" customFormat="1">
      <c r="A43" s="77"/>
      <c r="B43" s="32"/>
      <c r="C43" s="28"/>
      <c r="D43" s="29"/>
      <c r="E43" s="29"/>
      <c r="F43" s="220"/>
    </row>
    <row r="44" spans="1:6" s="20" customFormat="1">
      <c r="A44" s="77">
        <v>8</v>
      </c>
      <c r="B44" s="30" t="s">
        <v>23</v>
      </c>
      <c r="C44" s="28"/>
      <c r="D44" s="29"/>
      <c r="E44" s="29"/>
      <c r="F44" s="220"/>
    </row>
    <row r="45" spans="1:6" s="20" customFormat="1">
      <c r="A45" s="77" t="s">
        <v>6</v>
      </c>
      <c r="B45" s="32" t="s">
        <v>24</v>
      </c>
      <c r="C45" s="28"/>
      <c r="D45" s="29">
        <v>15000000</v>
      </c>
      <c r="E45" s="29">
        <f>'2. RECIEPTS SUMM'!E37</f>
        <v>15000000</v>
      </c>
      <c r="F45" s="220"/>
    </row>
    <row r="46" spans="1:6" s="20" customFormat="1">
      <c r="A46" s="77" t="s">
        <v>7</v>
      </c>
      <c r="B46" s="32" t="s">
        <v>25</v>
      </c>
      <c r="C46" s="28"/>
      <c r="D46" s="29">
        <v>15000000</v>
      </c>
      <c r="E46" s="29">
        <f>'2. RECIEPTS SUMM'!E38</f>
        <v>100000000</v>
      </c>
      <c r="F46" s="220"/>
    </row>
    <row r="47" spans="1:6" s="20" customFormat="1">
      <c r="A47" s="77" t="s">
        <v>8</v>
      </c>
      <c r="B47" s="32" t="s">
        <v>2072</v>
      </c>
      <c r="C47" s="28"/>
      <c r="D47" s="29">
        <v>0</v>
      </c>
      <c r="E47" s="29">
        <f>'2. RECIEPTS SUMM'!E39</f>
        <v>20000000</v>
      </c>
      <c r="F47" s="220"/>
    </row>
    <row r="48" spans="1:6" s="20" customFormat="1">
      <c r="A48" s="77" t="s">
        <v>9</v>
      </c>
      <c r="B48" s="32" t="s">
        <v>186</v>
      </c>
      <c r="C48" s="28"/>
      <c r="D48" s="29">
        <v>0</v>
      </c>
      <c r="E48" s="29">
        <f>'2. RECIEPTS SUMM'!E40</f>
        <v>10500000</v>
      </c>
      <c r="F48" s="220"/>
    </row>
    <row r="49" spans="1:6" s="20" customFormat="1">
      <c r="A49" s="77" t="s">
        <v>10</v>
      </c>
      <c r="B49" s="32" t="s">
        <v>67</v>
      </c>
      <c r="C49" s="28"/>
      <c r="D49" s="29">
        <v>1800000000</v>
      </c>
      <c r="E49" s="29">
        <f>'2. RECIEPTS SUMM'!E41</f>
        <v>1800000000</v>
      </c>
      <c r="F49" s="220"/>
    </row>
    <row r="50" spans="1:6" s="20" customFormat="1">
      <c r="A50" s="77" t="s">
        <v>13</v>
      </c>
      <c r="B50" s="32" t="s">
        <v>26</v>
      </c>
      <c r="C50" s="28"/>
      <c r="D50" s="29">
        <v>0</v>
      </c>
      <c r="E50" s="29">
        <f>'2. RECIEPTS SUMM'!E42</f>
        <v>2000000000</v>
      </c>
      <c r="F50" s="220"/>
    </row>
    <row r="51" spans="1:6" s="20" customFormat="1">
      <c r="A51" s="77" t="s">
        <v>14</v>
      </c>
      <c r="B51" s="32" t="s">
        <v>93</v>
      </c>
      <c r="C51" s="28"/>
      <c r="D51" s="29">
        <v>131447813.40000001</v>
      </c>
      <c r="E51" s="29">
        <f>'2. RECIEPTS SUMM'!E43</f>
        <v>323789964.19999999</v>
      </c>
      <c r="F51" s="220"/>
    </row>
    <row r="52" spans="1:6" s="20" customFormat="1">
      <c r="A52" s="77" t="s">
        <v>15</v>
      </c>
      <c r="B52" s="32" t="s">
        <v>39</v>
      </c>
      <c r="C52" s="28"/>
      <c r="D52" s="29">
        <v>63769454</v>
      </c>
      <c r="E52" s="29">
        <f>'2. RECIEPTS SUMM'!E44</f>
        <v>42817021</v>
      </c>
      <c r="F52" s="220"/>
    </row>
    <row r="53" spans="1:6" s="20" customFormat="1">
      <c r="A53" s="77" t="s">
        <v>16</v>
      </c>
      <c r="B53" s="32" t="s">
        <v>85</v>
      </c>
      <c r="C53" s="28"/>
      <c r="D53" s="29">
        <v>54071500</v>
      </c>
      <c r="E53" s="29">
        <f>'2. RECIEPTS SUMM'!E45</f>
        <v>0</v>
      </c>
      <c r="F53" s="220"/>
    </row>
    <row r="54" spans="1:6" s="20" customFormat="1">
      <c r="A54" s="77" t="s">
        <v>19</v>
      </c>
      <c r="B54" s="32" t="str">
        <f>'2. RECIEPTS SUMM'!B46</f>
        <v>Teachers' Development Project (TDP)- DFID Joint Projects</v>
      </c>
      <c r="C54" s="28"/>
      <c r="D54" s="29">
        <v>0</v>
      </c>
      <c r="E54" s="29">
        <f>'2. RECIEPTS SUMM'!E46</f>
        <v>54071500</v>
      </c>
      <c r="F54" s="220"/>
    </row>
    <row r="55" spans="1:6" s="20" customFormat="1">
      <c r="A55" s="77" t="str">
        <f>'2. RECIEPTS SUMM'!A47</f>
        <v>xi</v>
      </c>
      <c r="B55" s="32" t="str">
        <f>'2. RECIEPTS SUMM'!B47</f>
        <v>Malaria Control Progamme (Global Fund)</v>
      </c>
      <c r="C55" s="28"/>
      <c r="D55" s="29">
        <v>0</v>
      </c>
      <c r="E55" s="29">
        <f>'2. RECIEPTS SUMM'!E47</f>
        <v>69283180.400000006</v>
      </c>
      <c r="F55" s="220"/>
    </row>
    <row r="56" spans="1:6" s="20" customFormat="1">
      <c r="A56" s="77" t="s">
        <v>17</v>
      </c>
      <c r="B56" s="32" t="s">
        <v>2179</v>
      </c>
      <c r="C56" s="28"/>
      <c r="D56" s="29"/>
      <c r="E56" s="29">
        <f>'2. RECIEPTS SUMM'!E48</f>
        <v>700000000</v>
      </c>
      <c r="F56" s="220"/>
    </row>
    <row r="57" spans="1:6" s="20" customFormat="1">
      <c r="A57" s="77" t="s">
        <v>18</v>
      </c>
      <c r="B57" s="32" t="s">
        <v>2180</v>
      </c>
      <c r="C57" s="28"/>
      <c r="D57" s="29"/>
      <c r="E57" s="29">
        <f>'2. RECIEPTS SUMM'!E49</f>
        <v>2000000000</v>
      </c>
      <c r="F57" s="220"/>
    </row>
    <row r="58" spans="1:6" s="66" customFormat="1">
      <c r="A58" s="23"/>
      <c r="B58" s="34" t="s">
        <v>38</v>
      </c>
      <c r="C58" s="114"/>
      <c r="D58" s="31">
        <f>SUM(D45:D55)</f>
        <v>2079288767.4000001</v>
      </c>
      <c r="E58" s="31">
        <f>SUM(E45:E57)</f>
        <v>7135461665.5999994</v>
      </c>
      <c r="F58" s="227"/>
    </row>
    <row r="59" spans="1:6" s="20" customFormat="1">
      <c r="A59" s="77"/>
      <c r="B59" s="32"/>
      <c r="C59" s="28"/>
      <c r="D59" s="29"/>
      <c r="E59" s="29"/>
      <c r="F59" s="220"/>
    </row>
    <row r="60" spans="1:6" s="20" customFormat="1" ht="15.75">
      <c r="A60" s="77">
        <v>9</v>
      </c>
      <c r="B60" s="30" t="s">
        <v>27</v>
      </c>
      <c r="C60" s="28"/>
      <c r="D60" s="29"/>
      <c r="E60" s="33"/>
      <c r="F60" s="220"/>
    </row>
    <row r="61" spans="1:6" s="20" customFormat="1" ht="15.75">
      <c r="A61" s="77" t="s">
        <v>6</v>
      </c>
      <c r="B61" s="32" t="s">
        <v>87</v>
      </c>
      <c r="C61" s="28"/>
      <c r="D61" s="29">
        <v>161000000</v>
      </c>
      <c r="E61" s="33">
        <f>'2. RECIEPTS SUMM'!E53</f>
        <v>60000000</v>
      </c>
      <c r="F61" s="220"/>
    </row>
    <row r="62" spans="1:6" s="20" customFormat="1" ht="15.75">
      <c r="A62" s="77" t="s">
        <v>7</v>
      </c>
      <c r="B62" s="32" t="s">
        <v>1087</v>
      </c>
      <c r="C62" s="28"/>
      <c r="D62" s="29">
        <v>0</v>
      </c>
      <c r="E62" s="33">
        <f>'2. RECIEPTS SUMM'!E54</f>
        <v>11500000</v>
      </c>
      <c r="F62" s="220"/>
    </row>
    <row r="63" spans="1:6" s="20" customFormat="1" ht="15.75">
      <c r="A63" s="77" t="s">
        <v>8</v>
      </c>
      <c r="B63" s="32" t="s">
        <v>689</v>
      </c>
      <c r="C63" s="28"/>
      <c r="D63" s="29">
        <v>0</v>
      </c>
      <c r="E63" s="33">
        <f>'2. RECIEPTS SUMM'!E55</f>
        <v>438376878.38</v>
      </c>
      <c r="F63" s="220"/>
    </row>
    <row r="64" spans="1:6" s="20" customFormat="1" ht="15.75">
      <c r="A64" s="77" t="s">
        <v>9</v>
      </c>
      <c r="B64" s="32" t="s">
        <v>691</v>
      </c>
      <c r="C64" s="28"/>
      <c r="D64" s="29">
        <v>2937999835.9200001</v>
      </c>
      <c r="E64" s="33">
        <f>'2. RECIEPTS SUMM'!E56</f>
        <v>521013513.50999999</v>
      </c>
      <c r="F64" s="220"/>
    </row>
    <row r="65" spans="1:6" s="20" customFormat="1" ht="15.75">
      <c r="A65" s="77" t="s">
        <v>10</v>
      </c>
      <c r="B65" s="32" t="s">
        <v>692</v>
      </c>
      <c r="C65" s="28"/>
      <c r="D65" s="29">
        <v>0</v>
      </c>
      <c r="E65" s="33">
        <f>'2. RECIEPTS SUMM'!E57</f>
        <v>494962837.84500003</v>
      </c>
      <c r="F65" s="220"/>
    </row>
    <row r="66" spans="1:6" s="20" customFormat="1" ht="15.75">
      <c r="A66" s="77" t="s">
        <v>13</v>
      </c>
      <c r="B66" s="32" t="s">
        <v>89</v>
      </c>
      <c r="C66" s="28"/>
      <c r="D66" s="29">
        <v>750000000</v>
      </c>
      <c r="E66" s="33">
        <f>'2. RECIEPTS SUMM'!E58</f>
        <v>0</v>
      </c>
      <c r="F66" s="220"/>
    </row>
    <row r="67" spans="1:6" s="20" customFormat="1" ht="15.75">
      <c r="A67" s="77" t="s">
        <v>14</v>
      </c>
      <c r="B67" s="32" t="s">
        <v>690</v>
      </c>
      <c r="C67" s="28"/>
      <c r="D67" s="29">
        <v>68889138.989999995</v>
      </c>
      <c r="E67" s="33">
        <f>'2. RECIEPTS SUMM'!E59</f>
        <v>31725692.225000001</v>
      </c>
      <c r="F67" s="220"/>
    </row>
    <row r="68" spans="1:6" s="20" customFormat="1" ht="15.75">
      <c r="A68" s="77" t="s">
        <v>15</v>
      </c>
      <c r="B68" s="32" t="s">
        <v>693</v>
      </c>
      <c r="C68" s="28"/>
      <c r="D68" s="29">
        <v>850104168.64999998</v>
      </c>
      <c r="E68" s="33">
        <f>'2. RECIEPTS SUMM'!E60</f>
        <v>251900000</v>
      </c>
      <c r="F68" s="220"/>
    </row>
    <row r="69" spans="1:6" s="20" customFormat="1" ht="15.75">
      <c r="A69" s="77" t="s">
        <v>16</v>
      </c>
      <c r="B69" s="32" t="s">
        <v>90</v>
      </c>
      <c r="C69" s="28"/>
      <c r="D69" s="29">
        <v>492505333.52999997</v>
      </c>
      <c r="E69" s="33">
        <f>'2. RECIEPTS SUMM'!E61</f>
        <v>90286652.790000007</v>
      </c>
      <c r="F69" s="220"/>
    </row>
    <row r="70" spans="1:6" s="20" customFormat="1" ht="15.75">
      <c r="A70" s="77" t="s">
        <v>19</v>
      </c>
      <c r="B70" s="32" t="s">
        <v>40</v>
      </c>
      <c r="C70" s="28"/>
      <c r="D70" s="29">
        <v>1500000000</v>
      </c>
      <c r="E70" s="33">
        <f>'2. RECIEPTS SUMM'!E62</f>
        <v>0</v>
      </c>
      <c r="F70" s="220"/>
    </row>
    <row r="71" spans="1:6" s="20" customFormat="1" ht="15.75">
      <c r="A71" s="77" t="s">
        <v>20</v>
      </c>
      <c r="B71" s="32" t="s">
        <v>88</v>
      </c>
      <c r="C71" s="28"/>
      <c r="D71" s="29">
        <v>1350492887.0799999</v>
      </c>
      <c r="E71" s="33">
        <f>'2. RECIEPTS SUMM'!E63</f>
        <v>0</v>
      </c>
      <c r="F71" s="220"/>
    </row>
    <row r="72" spans="1:6" s="20" customFormat="1" ht="15.75">
      <c r="A72" s="77" t="s">
        <v>17</v>
      </c>
      <c r="B72" s="32" t="s">
        <v>41</v>
      </c>
      <c r="C72" s="28"/>
      <c r="D72" s="29">
        <v>661000000</v>
      </c>
      <c r="E72" s="33">
        <f>'2. RECIEPTS SUMM'!E64</f>
        <v>251000000</v>
      </c>
      <c r="F72" s="220"/>
    </row>
    <row r="73" spans="1:6" s="20" customFormat="1" ht="15.75">
      <c r="A73" s="77" t="s">
        <v>18</v>
      </c>
      <c r="B73" s="32" t="s">
        <v>35</v>
      </c>
      <c r="C73" s="28"/>
      <c r="D73" s="29">
        <v>240000000</v>
      </c>
      <c r="E73" s="33">
        <f>'2. RECIEPTS SUMM'!E65</f>
        <v>0</v>
      </c>
      <c r="F73" s="220"/>
    </row>
    <row r="74" spans="1:6" s="20" customFormat="1" ht="15.75">
      <c r="A74" s="77" t="s">
        <v>28</v>
      </c>
      <c r="B74" s="32" t="s">
        <v>36</v>
      </c>
      <c r="C74" s="28"/>
      <c r="D74" s="29">
        <v>3072659149</v>
      </c>
      <c r="E74" s="33">
        <f>'2. RECIEPTS SUMM'!E66</f>
        <v>2112772890.605</v>
      </c>
      <c r="F74" s="220"/>
    </row>
    <row r="75" spans="1:6" s="20" customFormat="1" ht="15.75">
      <c r="A75" s="77" t="s">
        <v>29</v>
      </c>
      <c r="B75" s="32" t="s">
        <v>37</v>
      </c>
      <c r="C75" s="28"/>
      <c r="D75" s="29">
        <v>407038817</v>
      </c>
      <c r="E75" s="33">
        <f>'2. RECIEPTS SUMM'!E67</f>
        <v>117913819.56999999</v>
      </c>
      <c r="F75" s="220"/>
    </row>
    <row r="76" spans="1:6" s="20" customFormat="1" ht="15.75">
      <c r="A76" s="77" t="s">
        <v>30</v>
      </c>
      <c r="B76" s="32" t="s">
        <v>694</v>
      </c>
      <c r="C76" s="28"/>
      <c r="D76" s="29">
        <v>624339687</v>
      </c>
      <c r="E76" s="33">
        <f>'2. RECIEPTS SUMM'!E68</f>
        <v>237814597.22</v>
      </c>
      <c r="F76" s="220"/>
    </row>
    <row r="77" spans="1:6" s="20" customFormat="1" ht="15.75">
      <c r="A77" s="77" t="s">
        <v>31</v>
      </c>
      <c r="B77" s="32" t="s">
        <v>695</v>
      </c>
      <c r="C77" s="28"/>
      <c r="D77" s="29">
        <v>63769454</v>
      </c>
      <c r="E77" s="33">
        <f>'2. RECIEPTS SUMM'!E69</f>
        <v>42817021</v>
      </c>
      <c r="F77" s="220"/>
    </row>
    <row r="78" spans="1:6" s="20" customFormat="1" ht="15.75">
      <c r="A78" s="77" t="s">
        <v>32</v>
      </c>
      <c r="B78" s="32" t="s">
        <v>71</v>
      </c>
      <c r="C78" s="28"/>
      <c r="D78" s="29">
        <v>600000000</v>
      </c>
      <c r="E78" s="33">
        <f>'2. RECIEPTS SUMM'!E70</f>
        <v>0</v>
      </c>
      <c r="F78" s="220"/>
    </row>
    <row r="79" spans="1:6" s="20" customFormat="1" ht="30">
      <c r="A79" s="77" t="s">
        <v>33</v>
      </c>
      <c r="B79" s="332" t="s">
        <v>2067</v>
      </c>
      <c r="C79" s="28"/>
      <c r="D79" s="29">
        <v>0</v>
      </c>
      <c r="E79" s="33">
        <f>'2. RECIEPTS SUMM'!E71</f>
        <v>1500000000</v>
      </c>
      <c r="F79" s="220"/>
    </row>
    <row r="80" spans="1:6" s="20" customFormat="1" ht="30">
      <c r="A80" s="77" t="s">
        <v>34</v>
      </c>
      <c r="B80" s="332" t="s">
        <v>696</v>
      </c>
      <c r="C80" s="28"/>
      <c r="D80" s="29"/>
      <c r="E80" s="33">
        <f>'2. RECIEPTS SUMM'!E72</f>
        <v>14742000000</v>
      </c>
      <c r="F80" s="220"/>
    </row>
    <row r="81" spans="1:6" s="20" customFormat="1" ht="15.75">
      <c r="A81" s="77" t="s">
        <v>2644</v>
      </c>
      <c r="B81" s="332" t="s">
        <v>2189</v>
      </c>
      <c r="C81" s="28"/>
      <c r="D81" s="29"/>
      <c r="E81" s="33">
        <f>'2. RECIEPTS SUMM'!E73</f>
        <v>14400000000</v>
      </c>
      <c r="F81" s="220"/>
    </row>
    <row r="82" spans="1:6" s="20" customFormat="1" ht="15.75">
      <c r="A82" s="77" t="s">
        <v>2645</v>
      </c>
      <c r="B82" s="332" t="s">
        <v>2646</v>
      </c>
      <c r="C82" s="28"/>
      <c r="D82" s="29"/>
      <c r="E82" s="33">
        <v>4800000</v>
      </c>
      <c r="F82" s="220"/>
    </row>
    <row r="83" spans="1:6" s="20" customFormat="1" ht="15.75">
      <c r="A83" s="23"/>
      <c r="B83" s="34" t="s">
        <v>42</v>
      </c>
      <c r="C83" s="114"/>
      <c r="D83" s="31">
        <f>SUM(D60:D79)</f>
        <v>13779798471.169998</v>
      </c>
      <c r="E83" s="344">
        <f>SUM(E61:E82)</f>
        <v>35308883903.145004</v>
      </c>
      <c r="F83" s="220"/>
    </row>
    <row r="84" spans="1:6" s="20" customFormat="1" ht="15.75">
      <c r="A84" s="23"/>
      <c r="B84" s="34" t="s">
        <v>84</v>
      </c>
      <c r="C84" s="114"/>
      <c r="D84" s="31">
        <f>D17+D22+D29+D42+D58+D83</f>
        <v>108272676649.56999</v>
      </c>
      <c r="E84" s="344">
        <f>E83+E58+E42+E29+E22+E19+E18</f>
        <v>131460617381.1494</v>
      </c>
      <c r="F84" s="220"/>
    </row>
    <row r="85" spans="1:6">
      <c r="A85" s="20"/>
      <c r="B85" s="20"/>
      <c r="C85" s="20"/>
      <c r="D85" s="35"/>
      <c r="E85" s="116"/>
    </row>
  </sheetData>
  <mergeCells count="2">
    <mergeCell ref="A1:E1"/>
    <mergeCell ref="A2:E2"/>
  </mergeCells>
  <printOptions horizontalCentered="1"/>
  <pageMargins left="1.0629921259842521" right="0.59055118110236227" top="0.51181102362204722" bottom="0.55118110236220474" header="0.31496062992125984" footer="0.31496062992125984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6" zoomScale="118" zoomScaleNormal="118" workbookViewId="0">
      <selection activeCell="D7" sqref="D7"/>
    </sheetView>
  </sheetViews>
  <sheetFormatPr defaultRowHeight="15"/>
  <cols>
    <col min="1" max="1" width="6.28515625" customWidth="1"/>
    <col min="2" max="2" width="63" customWidth="1"/>
    <col min="3" max="3" width="24.140625" style="18" customWidth="1"/>
    <col min="4" max="4" width="25.42578125" style="321" customWidth="1"/>
    <col min="5" max="5" width="21.42578125" style="109" customWidth="1"/>
    <col min="6" max="6" width="18.5703125" bestFit="1" customWidth="1"/>
  </cols>
  <sheetData>
    <row r="1" spans="1:6">
      <c r="A1" s="516" t="s">
        <v>66</v>
      </c>
      <c r="B1" s="516"/>
      <c r="C1" s="516"/>
      <c r="D1" s="516"/>
    </row>
    <row r="2" spans="1:6">
      <c r="A2" s="519" t="s">
        <v>82</v>
      </c>
      <c r="B2" s="519"/>
      <c r="C2" s="519"/>
      <c r="D2" s="519"/>
    </row>
    <row r="3" spans="1:6">
      <c r="A3" s="517"/>
      <c r="B3" s="518"/>
      <c r="C3" s="518"/>
    </row>
    <row r="4" spans="1:6" s="81" customFormat="1" ht="30">
      <c r="A4" s="82"/>
      <c r="B4" s="83"/>
      <c r="C4" s="50" t="s">
        <v>91</v>
      </c>
      <c r="D4" s="322" t="s">
        <v>196</v>
      </c>
      <c r="E4" s="455"/>
    </row>
    <row r="5" spans="1:6">
      <c r="A5" s="5" t="s">
        <v>95</v>
      </c>
      <c r="B5" s="11" t="s">
        <v>96</v>
      </c>
      <c r="C5" s="19"/>
      <c r="D5" s="323"/>
    </row>
    <row r="6" spans="1:6" ht="15.75">
      <c r="A6" s="3">
        <v>1</v>
      </c>
      <c r="B6" s="10" t="s">
        <v>3</v>
      </c>
      <c r="C6" s="12">
        <v>38851356689</v>
      </c>
      <c r="D6" s="323">
        <f>'3. ACCOUNTS SUMM'!E6</f>
        <v>15300000000</v>
      </c>
    </row>
    <row r="7" spans="1:6">
      <c r="A7" s="3">
        <v>2</v>
      </c>
      <c r="B7" s="10" t="s">
        <v>69</v>
      </c>
      <c r="C7" s="15">
        <v>45823866438</v>
      </c>
      <c r="D7" s="124">
        <v>50228877278.107018</v>
      </c>
    </row>
    <row r="8" spans="1:6">
      <c r="A8" s="3">
        <v>3</v>
      </c>
      <c r="B8" s="10" t="s">
        <v>4</v>
      </c>
      <c r="C8" s="17">
        <v>33795300000</v>
      </c>
      <c r="D8" s="323">
        <f>'1. GEN SUMMARY'!D6</f>
        <v>34919424430.146599</v>
      </c>
    </row>
    <row r="9" spans="1:6" s="9" customFormat="1">
      <c r="A9" s="5"/>
      <c r="B9" s="11" t="s">
        <v>51</v>
      </c>
      <c r="C9" s="16">
        <f>SUM(C6:C8)</f>
        <v>118470523127</v>
      </c>
      <c r="D9" s="324">
        <f>SUM(D6:D8)</f>
        <v>100448301708.25362</v>
      </c>
      <c r="E9" s="102"/>
    </row>
    <row r="10" spans="1:6">
      <c r="A10" s="3"/>
      <c r="B10" s="10" t="s">
        <v>60</v>
      </c>
      <c r="C10" s="15">
        <f>C9-C11</f>
        <v>54420550885</v>
      </c>
      <c r="D10" s="323">
        <v>16987808912.72438</v>
      </c>
    </row>
    <row r="11" spans="1:6" s="9" customFormat="1">
      <c r="A11" s="5"/>
      <c r="B11" s="11" t="s">
        <v>61</v>
      </c>
      <c r="C11" s="16">
        <f>C19</f>
        <v>64049972242</v>
      </c>
      <c r="D11" s="324">
        <f>D9-D10</f>
        <v>83460492795.529236</v>
      </c>
      <c r="E11" s="102"/>
    </row>
    <row r="12" spans="1:6">
      <c r="A12" s="3"/>
      <c r="B12" s="10"/>
      <c r="C12" s="15"/>
      <c r="D12" s="323"/>
    </row>
    <row r="13" spans="1:6">
      <c r="A13" s="3"/>
      <c r="B13" s="11" t="s">
        <v>43</v>
      </c>
      <c r="C13" s="15"/>
      <c r="D13" s="323"/>
    </row>
    <row r="14" spans="1:6">
      <c r="A14" s="3">
        <v>1</v>
      </c>
      <c r="B14" s="10" t="s">
        <v>45</v>
      </c>
      <c r="C14" s="15">
        <v>579367538</v>
      </c>
      <c r="D14" s="323">
        <v>1299367538</v>
      </c>
    </row>
    <row r="15" spans="1:6">
      <c r="A15" s="3">
        <v>2</v>
      </c>
      <c r="B15" s="10" t="s">
        <v>46</v>
      </c>
      <c r="C15" s="15">
        <v>31256874303</v>
      </c>
      <c r="D15" s="323">
        <v>38491657726.36702</v>
      </c>
    </row>
    <row r="16" spans="1:6">
      <c r="A16" s="3">
        <v>3</v>
      </c>
      <c r="B16" s="10" t="s">
        <v>47</v>
      </c>
      <c r="C16" s="15">
        <v>27667730401</v>
      </c>
      <c r="D16" s="323">
        <v>38631908982.162216</v>
      </c>
      <c r="F16" s="18"/>
    </row>
    <row r="17" spans="1:5">
      <c r="A17" s="3">
        <v>4</v>
      </c>
      <c r="B17" s="10" t="s">
        <v>62</v>
      </c>
      <c r="C17" s="15">
        <v>3580000000</v>
      </c>
      <c r="D17" s="323">
        <v>4118669349</v>
      </c>
    </row>
    <row r="18" spans="1:5">
      <c r="A18" s="3">
        <v>5</v>
      </c>
      <c r="B18" s="10" t="s">
        <v>48</v>
      </c>
      <c r="C18" s="15">
        <v>966000000</v>
      </c>
      <c r="D18" s="323">
        <v>923689200</v>
      </c>
    </row>
    <row r="19" spans="1:5" s="9" customFormat="1">
      <c r="A19" s="5"/>
      <c r="B19" s="11" t="s">
        <v>44</v>
      </c>
      <c r="C19" s="16">
        <f>SUM(C14:C18)</f>
        <v>64049972242</v>
      </c>
      <c r="D19" s="324">
        <f>SUM(D14:D18)</f>
        <v>83465292795.529236</v>
      </c>
      <c r="E19" s="102"/>
    </row>
    <row r="20" spans="1:5">
      <c r="A20" s="3"/>
      <c r="B20" s="11"/>
      <c r="C20" s="15"/>
      <c r="D20" s="323"/>
    </row>
    <row r="21" spans="1:5">
      <c r="A21" s="5" t="s">
        <v>94</v>
      </c>
      <c r="B21" s="5" t="s">
        <v>78</v>
      </c>
      <c r="C21" s="16"/>
      <c r="D21" s="323"/>
    </row>
    <row r="22" spans="1:5" s="9" customFormat="1">
      <c r="A22" s="5">
        <v>1</v>
      </c>
      <c r="B22" s="5" t="s">
        <v>64</v>
      </c>
      <c r="C22" s="16">
        <v>108272676649.56999</v>
      </c>
      <c r="D22" s="324">
        <f>'3. ACCOUNTS SUMM'!E84</f>
        <v>131460617381.1494</v>
      </c>
      <c r="E22" s="102"/>
    </row>
    <row r="23" spans="1:5" s="9" customFormat="1">
      <c r="A23" s="5">
        <v>2</v>
      </c>
      <c r="B23" s="5" t="s">
        <v>65</v>
      </c>
      <c r="C23" s="16">
        <v>108272676649.56999</v>
      </c>
      <c r="D23" s="324">
        <v>131455817381.14899</v>
      </c>
      <c r="E23" s="102"/>
    </row>
  </sheetData>
  <mergeCells count="3">
    <mergeCell ref="A3:C3"/>
    <mergeCell ref="A1:D1"/>
    <mergeCell ref="A2:D2"/>
  </mergeCells>
  <pageMargins left="1.39" right="0.70866141732283472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opLeftCell="A49" zoomScaleNormal="100" workbookViewId="0">
      <selection activeCell="E64" sqref="E64"/>
    </sheetView>
  </sheetViews>
  <sheetFormatPr defaultRowHeight="15"/>
  <cols>
    <col min="1" max="1" width="8.28515625" style="1" customWidth="1"/>
    <col min="2" max="2" width="81.42578125" customWidth="1"/>
    <col min="3" max="3" width="18.7109375" customWidth="1"/>
    <col min="4" max="4" width="19.28515625" hidden="1" customWidth="1"/>
    <col min="5" max="5" width="20.42578125" customWidth="1"/>
  </cols>
  <sheetData>
    <row r="1" spans="1:5" ht="18.75">
      <c r="A1" s="520" t="s">
        <v>700</v>
      </c>
      <c r="B1" s="520"/>
      <c r="C1" s="520"/>
      <c r="D1" s="520"/>
      <c r="E1" s="520"/>
    </row>
    <row r="2" spans="1:5">
      <c r="A2" s="119"/>
      <c r="B2" s="9"/>
      <c r="C2" s="9"/>
      <c r="D2" s="102"/>
    </row>
    <row r="3" spans="1:5" s="81" customFormat="1" ht="41.25" customHeight="1">
      <c r="A3" s="42" t="s">
        <v>0</v>
      </c>
      <c r="B3" s="43" t="s">
        <v>198</v>
      </c>
      <c r="C3" s="43" t="s">
        <v>162</v>
      </c>
      <c r="D3" s="112" t="s">
        <v>684</v>
      </c>
      <c r="E3" s="112" t="s">
        <v>2134</v>
      </c>
    </row>
    <row r="4" spans="1:5">
      <c r="A4" s="7">
        <v>1</v>
      </c>
      <c r="B4" s="105" t="s">
        <v>1743</v>
      </c>
      <c r="C4" s="286">
        <f>[6]BREAKDOWN!E21</f>
        <v>3806000000</v>
      </c>
      <c r="D4" s="287">
        <f>[6]BREAKDOWN!F21</f>
        <v>10470334125</v>
      </c>
      <c r="E4" s="288">
        <f>'BREAKDOWN OF IGR'!G22</f>
        <v>5470364125</v>
      </c>
    </row>
    <row r="5" spans="1:5">
      <c r="A5" s="7">
        <v>2</v>
      </c>
      <c r="B5" s="105" t="s">
        <v>199</v>
      </c>
      <c r="C5" s="286">
        <f>[6]BREAKDOWN!E30</f>
        <v>1350000000</v>
      </c>
      <c r="D5" s="287">
        <f>[6]BREAKDOWN!F30</f>
        <v>1000500000</v>
      </c>
      <c r="E5" s="288">
        <f>'BREAKDOWN OF IGR'!G31</f>
        <v>500250000</v>
      </c>
    </row>
    <row r="6" spans="1:5">
      <c r="A6" s="7">
        <v>3</v>
      </c>
      <c r="B6" s="105" t="s">
        <v>160</v>
      </c>
      <c r="C6" s="286">
        <f>[6]BREAKDOWN!E35</f>
        <v>76524336</v>
      </c>
      <c r="D6" s="287">
        <f>[6]BREAKDOWN!F35</f>
        <v>99500000</v>
      </c>
      <c r="E6" s="288">
        <f>'BREAKDOWN OF IGR'!G36</f>
        <v>99500001</v>
      </c>
    </row>
    <row r="7" spans="1:5" ht="18">
      <c r="A7" s="7">
        <v>4</v>
      </c>
      <c r="B7" s="105" t="s">
        <v>113</v>
      </c>
      <c r="C7" s="289">
        <f>[6]BREAKDOWN!E48</f>
        <v>24580000</v>
      </c>
      <c r="D7" s="290">
        <f>[6]BREAKDOWN!F48</f>
        <v>35000000</v>
      </c>
      <c r="E7" s="291">
        <f>'BREAKDOWN OF IGR'!G49</f>
        <v>35000000</v>
      </c>
    </row>
    <row r="8" spans="1:5">
      <c r="A8" s="7">
        <v>5</v>
      </c>
      <c r="B8" s="105" t="s">
        <v>798</v>
      </c>
      <c r="C8" s="286">
        <f>[6]BREAKDOWN!E54</f>
        <v>1700000</v>
      </c>
      <c r="D8" s="287">
        <f>[6]BREAKDOWN!F54</f>
        <v>2070000</v>
      </c>
      <c r="E8" s="288">
        <f>'BREAKDOWN OF IGR'!G57</f>
        <v>52070000</v>
      </c>
    </row>
    <row r="9" spans="1:5">
      <c r="A9" s="7">
        <v>6</v>
      </c>
      <c r="B9" s="105" t="s">
        <v>200</v>
      </c>
      <c r="C9" s="286">
        <f>[6]BREAKDOWN!E58</f>
        <v>32855550</v>
      </c>
      <c r="D9" s="287">
        <f>[6]BREAKDOWN!F58</f>
        <v>42712215</v>
      </c>
      <c r="E9" s="288">
        <f>'BREAKDOWN OF IGR'!G61</f>
        <v>42712216</v>
      </c>
    </row>
    <row r="10" spans="1:5">
      <c r="A10" s="7">
        <v>7</v>
      </c>
      <c r="B10" s="105" t="s">
        <v>103</v>
      </c>
      <c r="C10" s="286">
        <f>[6]BREAKDOWN!E65</f>
        <v>18900000</v>
      </c>
      <c r="D10" s="287">
        <f>[6]BREAKDOWN!F65</f>
        <v>19600000</v>
      </c>
      <c r="E10" s="288">
        <f>'BREAKDOWN OF IGR'!G68</f>
        <v>19600000</v>
      </c>
    </row>
    <row r="11" spans="1:5">
      <c r="A11" s="7">
        <v>8</v>
      </c>
      <c r="B11" s="105" t="s">
        <v>101</v>
      </c>
      <c r="C11" s="286">
        <f>[6]BREAKDOWN!E70</f>
        <v>6800000</v>
      </c>
      <c r="D11" s="287">
        <f>[6]BREAKDOWN!F70</f>
        <v>8500000</v>
      </c>
      <c r="E11" s="288">
        <f>'BREAKDOWN OF IGR'!G73</f>
        <v>8500000</v>
      </c>
    </row>
    <row r="12" spans="1:5">
      <c r="A12" s="7">
        <v>9</v>
      </c>
      <c r="B12" s="105" t="s">
        <v>102</v>
      </c>
      <c r="C12" s="286">
        <f>[6]BREAKDOWN!E76</f>
        <v>6500000</v>
      </c>
      <c r="D12" s="287">
        <f>[6]BREAKDOWN!F76</f>
        <v>6750000</v>
      </c>
      <c r="E12" s="288">
        <f>'BREAKDOWN OF IGR'!G79</f>
        <v>6750000</v>
      </c>
    </row>
    <row r="13" spans="1:5">
      <c r="A13" s="7">
        <v>10</v>
      </c>
      <c r="B13" s="105" t="s">
        <v>134</v>
      </c>
      <c r="C13" s="286">
        <f>[6]BREAKDOWN!E97</f>
        <v>75330000</v>
      </c>
      <c r="D13" s="287">
        <f>[6]BREAKDOWN!F97</f>
        <v>101982100</v>
      </c>
      <c r="E13" s="288">
        <f>'BREAKDOWN OF IGR'!G100</f>
        <v>46982100</v>
      </c>
    </row>
    <row r="14" spans="1:5">
      <c r="A14" s="7">
        <v>11</v>
      </c>
      <c r="B14" s="105" t="s">
        <v>150</v>
      </c>
      <c r="C14" s="286">
        <f>[6]BREAKDOWN!E106</f>
        <v>23960000</v>
      </c>
      <c r="D14" s="287">
        <f>[6]BREAKDOWN!F106</f>
        <v>27300000</v>
      </c>
      <c r="E14" s="288">
        <f>'BREAKDOWN OF IGR'!G109</f>
        <v>27300000</v>
      </c>
    </row>
    <row r="15" spans="1:5">
      <c r="A15" s="7">
        <v>12</v>
      </c>
      <c r="B15" s="105" t="s">
        <v>2078</v>
      </c>
      <c r="C15" s="286">
        <f>[6]BREAKDOWN!E113</f>
        <v>6315000</v>
      </c>
      <c r="D15" s="287">
        <f>[6]BREAKDOWN!F113</f>
        <v>8200000</v>
      </c>
      <c r="E15" s="288">
        <f>'BREAKDOWN OF IGR'!G116</f>
        <v>8200000</v>
      </c>
    </row>
    <row r="16" spans="1:5">
      <c r="A16" s="7">
        <v>13</v>
      </c>
      <c r="B16" s="105" t="s">
        <v>201</v>
      </c>
      <c r="C16" s="286">
        <f>[6]BREAKDOWN!E124</f>
        <v>105183250</v>
      </c>
      <c r="D16" s="287">
        <f>[6]BREAKDOWN!F124</f>
        <v>118000000</v>
      </c>
      <c r="E16" s="288">
        <f>'BREAKDOWN OF IGR'!G127</f>
        <v>118000001</v>
      </c>
    </row>
    <row r="17" spans="1:5">
      <c r="A17" s="7">
        <v>14</v>
      </c>
      <c r="B17" s="105" t="s">
        <v>131</v>
      </c>
      <c r="C17" s="286">
        <f>[6]BREAKDOWN!E142</f>
        <v>655779300</v>
      </c>
      <c r="D17" s="287">
        <f>[6]BREAKDOWN!F142</f>
        <v>671408510</v>
      </c>
      <c r="E17" s="288">
        <f>'BREAKDOWN OF IGR'!G145</f>
        <v>671408510</v>
      </c>
    </row>
    <row r="18" spans="1:5">
      <c r="A18" s="7">
        <v>15</v>
      </c>
      <c r="B18" s="105" t="s">
        <v>130</v>
      </c>
      <c r="C18" s="286">
        <f>[6]BREAKDOWN!E175</f>
        <v>543180750</v>
      </c>
      <c r="D18" s="287">
        <f>[6]BREAKDOWN!F175</f>
        <v>713104400</v>
      </c>
      <c r="E18" s="288">
        <f>'BREAKDOWN OF IGR'!G177</f>
        <v>713104400</v>
      </c>
    </row>
    <row r="19" spans="1:5">
      <c r="A19" s="7">
        <v>16</v>
      </c>
      <c r="B19" s="105" t="s">
        <v>202</v>
      </c>
      <c r="C19" s="286">
        <f>[6]BREAKDOWN!E195</f>
        <v>594400000</v>
      </c>
      <c r="D19" s="287">
        <f>[6]BREAKDOWN!F195</f>
        <v>674120000</v>
      </c>
      <c r="E19" s="288">
        <f>'BREAKDOWN OF IGR'!G197</f>
        <v>674120000</v>
      </c>
    </row>
    <row r="20" spans="1:5">
      <c r="A20" s="7">
        <v>17</v>
      </c>
      <c r="B20" s="105" t="s">
        <v>147</v>
      </c>
      <c r="C20" s="286">
        <f>[6]BREAKDOWN!E223</f>
        <v>267954740</v>
      </c>
      <c r="D20" s="287">
        <f>[6]BREAKDOWN!F223</f>
        <v>342481300</v>
      </c>
      <c r="E20" s="288">
        <f>'BREAKDOWN OF IGR'!G225</f>
        <v>342481300</v>
      </c>
    </row>
    <row r="21" spans="1:5">
      <c r="A21" s="7">
        <v>18</v>
      </c>
      <c r="B21" s="105" t="s">
        <v>203</v>
      </c>
      <c r="C21" s="286">
        <f>[6]BREAKDOWN!E229</f>
        <v>650000</v>
      </c>
      <c r="D21" s="287">
        <f>[6]BREAKDOWN!F229</f>
        <v>845000</v>
      </c>
      <c r="E21" s="288">
        <f>'BREAKDOWN OF IGR'!G231</f>
        <v>845000</v>
      </c>
    </row>
    <row r="22" spans="1:5">
      <c r="A22" s="7">
        <v>19</v>
      </c>
      <c r="B22" s="105" t="s">
        <v>129</v>
      </c>
      <c r="C22" s="286">
        <f>[6]BREAKDOWN!E235</f>
        <v>300000</v>
      </c>
      <c r="D22" s="287">
        <f>[6]BREAKDOWN!F235</f>
        <v>200000</v>
      </c>
      <c r="E22" s="288">
        <f>'BREAKDOWN OF IGR'!G237</f>
        <v>200002</v>
      </c>
    </row>
    <row r="23" spans="1:5">
      <c r="A23" s="7">
        <v>20</v>
      </c>
      <c r="B23" s="105" t="s">
        <v>127</v>
      </c>
      <c r="C23" s="286">
        <f>[6]BREAKDOWN!E239</f>
        <v>230000</v>
      </c>
      <c r="D23" s="287">
        <f>[6]BREAKDOWN!F239</f>
        <v>300000</v>
      </c>
      <c r="E23" s="288">
        <f>'BREAKDOWN OF IGR'!G241</f>
        <v>300000</v>
      </c>
    </row>
    <row r="24" spans="1:5">
      <c r="A24" s="7">
        <v>21</v>
      </c>
      <c r="B24" s="105" t="s">
        <v>2643</v>
      </c>
      <c r="C24" s="286">
        <f>[6]BREAKDOWN!E244</f>
        <v>246155338</v>
      </c>
      <c r="D24" s="287">
        <f>[6]BREAKDOWN!F244</f>
        <v>338155338</v>
      </c>
      <c r="E24" s="288">
        <f>'BREAKDOWN OF IGR'!G246</f>
        <v>338155339</v>
      </c>
    </row>
    <row r="25" spans="1:5">
      <c r="A25" s="7">
        <v>22</v>
      </c>
      <c r="B25" s="105" t="s">
        <v>389</v>
      </c>
      <c r="C25" s="286">
        <f>[6]BREAKDOWN!E259</f>
        <v>48358050</v>
      </c>
      <c r="D25" s="287">
        <f>[6]BREAKDOWN!F259</f>
        <v>53829500</v>
      </c>
      <c r="E25" s="288">
        <f>'BREAKDOWN OF IGR'!G261</f>
        <v>53829500</v>
      </c>
    </row>
    <row r="26" spans="1:5">
      <c r="A26" s="7">
        <v>23</v>
      </c>
      <c r="B26" s="105" t="s">
        <v>145</v>
      </c>
      <c r="C26" s="286">
        <f>[6]BREAKDOWN!E275</f>
        <v>21781650</v>
      </c>
      <c r="D26" s="287">
        <f>[6]BREAKDOWN!F275</f>
        <v>25000000</v>
      </c>
      <c r="E26" s="288">
        <f>'BREAKDOWN OF IGR'!G277</f>
        <v>25000000</v>
      </c>
    </row>
    <row r="27" spans="1:5">
      <c r="A27" s="7">
        <v>24</v>
      </c>
      <c r="B27" s="105" t="s">
        <v>204</v>
      </c>
      <c r="C27" s="286">
        <f>[6]BREAKDOWN!E292</f>
        <v>6723400</v>
      </c>
      <c r="D27" s="287">
        <f>[6]BREAKDOWN!F292</f>
        <v>8700000</v>
      </c>
      <c r="E27" s="288">
        <f>'BREAKDOWN OF IGR'!G294</f>
        <v>8700000</v>
      </c>
    </row>
    <row r="28" spans="1:5">
      <c r="A28" s="7">
        <v>25</v>
      </c>
      <c r="B28" s="105" t="s">
        <v>144</v>
      </c>
      <c r="C28" s="286">
        <f>[6]BREAKDOWN!E308</f>
        <v>1427500</v>
      </c>
      <c r="D28" s="287">
        <f>[6]BREAKDOWN!F308</f>
        <v>2000000</v>
      </c>
      <c r="E28" s="288">
        <f>'BREAKDOWN OF IGR'!G310</f>
        <v>2000000</v>
      </c>
    </row>
    <row r="29" spans="1:5">
      <c r="A29" s="7">
        <v>26</v>
      </c>
      <c r="B29" s="105" t="s">
        <v>143</v>
      </c>
      <c r="C29" s="286">
        <f>[6]BREAKDOWN!E323</f>
        <v>4800000</v>
      </c>
      <c r="D29" s="287">
        <f>[6]BREAKDOWN!F323</f>
        <v>5500000</v>
      </c>
      <c r="E29" s="288">
        <f>'BREAKDOWN OF IGR'!G325</f>
        <v>5500000</v>
      </c>
    </row>
    <row r="30" spans="1:5">
      <c r="A30" s="7">
        <v>27</v>
      </c>
      <c r="B30" s="105" t="s">
        <v>142</v>
      </c>
      <c r="C30" s="286">
        <f>[6]BREAKDOWN!E339</f>
        <v>20806900</v>
      </c>
      <c r="D30" s="287">
        <f>[6]BREAKDOWN!F339</f>
        <v>22000000</v>
      </c>
      <c r="E30" s="288">
        <f>'BREAKDOWN OF IGR'!G341</f>
        <v>22000000</v>
      </c>
    </row>
    <row r="31" spans="1:5">
      <c r="A31" s="7">
        <v>28</v>
      </c>
      <c r="B31" s="105" t="s">
        <v>141</v>
      </c>
      <c r="C31" s="286">
        <f>[6]BREAKDOWN!E354</f>
        <v>2276100</v>
      </c>
      <c r="D31" s="287">
        <f>[6]BREAKDOWN!F354</f>
        <v>2500000</v>
      </c>
      <c r="E31" s="288">
        <f>'BREAKDOWN OF IGR'!G356</f>
        <v>2500000</v>
      </c>
    </row>
    <row r="32" spans="1:5">
      <c r="A32" s="7">
        <v>29</v>
      </c>
      <c r="B32" s="105" t="s">
        <v>140</v>
      </c>
      <c r="C32" s="286">
        <f>[6]BREAKDOWN!E371</f>
        <v>5192450</v>
      </c>
      <c r="D32" s="287">
        <f>[6]BREAKDOWN!F371</f>
        <v>6528000</v>
      </c>
      <c r="E32" s="288">
        <f>'BREAKDOWN OF IGR'!G373</f>
        <v>6528000</v>
      </c>
    </row>
    <row r="33" spans="1:5">
      <c r="A33" s="7">
        <v>30</v>
      </c>
      <c r="B33" s="105" t="s">
        <v>139</v>
      </c>
      <c r="C33" s="286">
        <f>[6]BREAKDOWN!E387</f>
        <v>1407000</v>
      </c>
      <c r="D33" s="287">
        <f>[6]BREAKDOWN!F387</f>
        <v>1500000</v>
      </c>
      <c r="E33" s="288">
        <f>'BREAKDOWN OF IGR'!G389</f>
        <v>1500000</v>
      </c>
    </row>
    <row r="34" spans="1:5">
      <c r="A34" s="7">
        <v>31</v>
      </c>
      <c r="B34" s="105" t="s">
        <v>205</v>
      </c>
      <c r="C34" s="286">
        <f>[6]BREAKDOWN!E404</f>
        <v>11743750</v>
      </c>
      <c r="D34" s="287">
        <f>[6]BREAKDOWN!F404</f>
        <v>12200000</v>
      </c>
      <c r="E34" s="288">
        <f>'BREAKDOWN OF IGR'!G406</f>
        <v>12200000</v>
      </c>
    </row>
    <row r="35" spans="1:5">
      <c r="A35" s="7">
        <v>32</v>
      </c>
      <c r="B35" s="105" t="s">
        <v>206</v>
      </c>
      <c r="C35" s="286">
        <f>[6]BREAKDOWN!E420</f>
        <v>9154200</v>
      </c>
      <c r="D35" s="287">
        <f>[6]BREAKDOWN!F420</f>
        <v>10500000</v>
      </c>
      <c r="E35" s="288">
        <f>'BREAKDOWN OF IGR'!G422</f>
        <v>10500000</v>
      </c>
    </row>
    <row r="36" spans="1:5">
      <c r="A36" s="7">
        <v>33</v>
      </c>
      <c r="B36" s="105" t="s">
        <v>207</v>
      </c>
      <c r="C36" s="286">
        <f>[6]BREAKDOWN!E436</f>
        <v>18586750</v>
      </c>
      <c r="D36" s="287">
        <f>[6]BREAKDOWN!F436</f>
        <v>16799400</v>
      </c>
      <c r="E36" s="288">
        <f>'BREAKDOWN OF IGR'!G438</f>
        <v>16799400</v>
      </c>
    </row>
    <row r="37" spans="1:5">
      <c r="A37" s="7">
        <v>34</v>
      </c>
      <c r="B37" s="105" t="s">
        <v>208</v>
      </c>
      <c r="C37" s="286">
        <f>[6]BREAKDOWN!E455</f>
        <v>26597200</v>
      </c>
      <c r="D37" s="287">
        <f>[6]BREAKDOWN!F455</f>
        <v>23482000</v>
      </c>
      <c r="E37" s="288">
        <f>'BREAKDOWN OF IGR'!G457</f>
        <v>23482000</v>
      </c>
    </row>
    <row r="38" spans="1:5">
      <c r="A38" s="7">
        <v>35</v>
      </c>
      <c r="B38" s="105" t="s">
        <v>137</v>
      </c>
      <c r="C38" s="286">
        <f>[6]BREAKDOWN!E471</f>
        <v>9421400</v>
      </c>
      <c r="D38" s="287">
        <f>[6]BREAKDOWN!F471</f>
        <v>8273400</v>
      </c>
      <c r="E38" s="288">
        <f>'BREAKDOWN OF IGR'!G473</f>
        <v>8273400</v>
      </c>
    </row>
    <row r="39" spans="1:5">
      <c r="A39" s="7">
        <v>36</v>
      </c>
      <c r="B39" s="105" t="s">
        <v>209</v>
      </c>
      <c r="C39" s="286">
        <f>[6]BREAKDOWN!E487</f>
        <v>9415900</v>
      </c>
      <c r="D39" s="287">
        <f>[6]BREAKDOWN!F487</f>
        <v>12200000</v>
      </c>
      <c r="E39" s="288">
        <f>'BREAKDOWN OF IGR'!G489</f>
        <v>12200000</v>
      </c>
    </row>
    <row r="40" spans="1:5">
      <c r="A40" s="7">
        <v>37</v>
      </c>
      <c r="B40" s="105" t="s">
        <v>210</v>
      </c>
      <c r="C40" s="286">
        <f>[6]BREAKDOWN!E503</f>
        <v>10348800</v>
      </c>
      <c r="D40" s="287">
        <f>[6]BREAKDOWN!F503</f>
        <v>13400000</v>
      </c>
      <c r="E40" s="288">
        <f>'BREAKDOWN OF IGR'!G505</f>
        <v>13400000</v>
      </c>
    </row>
    <row r="41" spans="1:5">
      <c r="A41" s="7">
        <v>38</v>
      </c>
      <c r="B41" s="105" t="s">
        <v>117</v>
      </c>
      <c r="C41" s="286">
        <f>[6]BREAKDOWN!E511</f>
        <v>0</v>
      </c>
      <c r="D41" s="287">
        <f>'BREAKDOWN OF IGR'!F513</f>
        <v>1308800000</v>
      </c>
      <c r="E41" s="288">
        <f>'BREAKDOWN OF IGR'!G513</f>
        <v>708800000</v>
      </c>
    </row>
    <row r="42" spans="1:5">
      <c r="A42" s="7">
        <v>39</v>
      </c>
      <c r="B42" s="105" t="s">
        <v>211</v>
      </c>
      <c r="C42" s="286">
        <f>[6]BREAKDOWN!E524</f>
        <v>26627100</v>
      </c>
      <c r="D42" s="287">
        <f>[6]BREAKDOWN!F524</f>
        <v>34615280</v>
      </c>
      <c r="E42" s="288">
        <f>'BREAKDOWN OF IGR'!G526</f>
        <v>34615280</v>
      </c>
    </row>
    <row r="43" spans="1:5">
      <c r="A43" s="7">
        <v>40</v>
      </c>
      <c r="B43" s="105" t="s">
        <v>109</v>
      </c>
      <c r="C43" s="286">
        <f>[6]BREAKDOWN!E540</f>
        <v>11039175000</v>
      </c>
      <c r="D43" s="287">
        <f>'BREAKDOWN OF IGR'!F543</f>
        <v>13850217796.5</v>
      </c>
      <c r="E43" s="288">
        <f>'BREAKDOWN OF IGR'!G543</f>
        <v>11729922796.5</v>
      </c>
    </row>
    <row r="44" spans="1:5">
      <c r="A44" s="7">
        <v>41</v>
      </c>
      <c r="B44" s="105" t="s">
        <v>212</v>
      </c>
      <c r="C44" s="286">
        <f>[6]BREAKDOWN!E572</f>
        <v>25015314218</v>
      </c>
      <c r="D44" s="287">
        <f>[6]BREAKDOWN!F572</f>
        <v>26624769915.790619</v>
      </c>
      <c r="E44" s="288">
        <f>'BREAKDOWN OF IGR'!G575</f>
        <v>26119969915.790619</v>
      </c>
    </row>
    <row r="45" spans="1:5">
      <c r="A45" s="7">
        <v>42</v>
      </c>
      <c r="B45" s="105" t="s">
        <v>213</v>
      </c>
      <c r="C45" s="286">
        <f>[6]BREAKDOWN!E596</f>
        <v>660736765</v>
      </c>
      <c r="D45" s="287">
        <f>[6]BREAKDOWN!F596</f>
        <v>636675299.06640005</v>
      </c>
      <c r="E45" s="288">
        <f>'BREAKDOWN OF IGR'!G599</f>
        <v>636675299.06640005</v>
      </c>
    </row>
    <row r="46" spans="1:5">
      <c r="A46" s="7">
        <v>43</v>
      </c>
      <c r="B46" s="105" t="s">
        <v>214</v>
      </c>
      <c r="C46" s="286">
        <f>[6]BREAKDOWN!E622</f>
        <v>191256800</v>
      </c>
      <c r="D46" s="287">
        <f>[6]BREAKDOWN!F622</f>
        <v>248633408</v>
      </c>
      <c r="E46" s="288">
        <f>'BREAKDOWN OF IGR'!G625</f>
        <v>248633408</v>
      </c>
    </row>
    <row r="47" spans="1:5">
      <c r="A47" s="7">
        <v>44</v>
      </c>
      <c r="B47" s="105" t="s">
        <v>215</v>
      </c>
      <c r="C47" s="286">
        <f>[6]BREAKDOWN!E640</f>
        <v>32940175</v>
      </c>
      <c r="D47" s="287">
        <f>[6]BREAKDOWN!F640</f>
        <v>42822227.5</v>
      </c>
      <c r="E47" s="288">
        <f>'BREAKDOWN OF IGR'!G643</f>
        <v>42822227.5</v>
      </c>
    </row>
    <row r="48" spans="1:5">
      <c r="A48" s="7">
        <v>45</v>
      </c>
      <c r="B48" s="105" t="s">
        <v>216</v>
      </c>
      <c r="C48" s="286">
        <f>[6]BREAKDOWN!E672</f>
        <v>19350000</v>
      </c>
      <c r="D48" s="287">
        <f>[6]BREAKDOWN!F672</f>
        <v>25155000</v>
      </c>
      <c r="E48" s="288">
        <f>'BREAKDOWN OF IGR'!G675</f>
        <v>25155000</v>
      </c>
    </row>
    <row r="49" spans="1:5">
      <c r="A49" s="7">
        <v>46</v>
      </c>
      <c r="B49" s="105" t="s">
        <v>104</v>
      </c>
      <c r="C49" s="286">
        <f>[6]BREAKDOWN!E678</f>
        <v>106855200</v>
      </c>
      <c r="D49" s="287">
        <f>[6]BREAKDOWN!F678</f>
        <v>4400000</v>
      </c>
      <c r="E49" s="288">
        <f>'BREAKDOWN OF IGR'!G681</f>
        <v>4400000</v>
      </c>
    </row>
    <row r="50" spans="1:5">
      <c r="A50" s="7">
        <v>47</v>
      </c>
      <c r="B50" s="105" t="s">
        <v>217</v>
      </c>
      <c r="C50" s="286">
        <f>[6]BREAKDOWN!E683</f>
        <v>900000</v>
      </c>
      <c r="D50" s="287">
        <f>[6]BREAKDOWN!F683</f>
        <v>1500000</v>
      </c>
      <c r="E50" s="288">
        <f>'BREAKDOWN OF IGR'!G686</f>
        <v>1500000</v>
      </c>
    </row>
    <row r="51" spans="1:5">
      <c r="A51" s="7">
        <v>48</v>
      </c>
      <c r="B51" s="105" t="s">
        <v>152</v>
      </c>
      <c r="C51" s="286">
        <f>[6]BREAKDOWN!E688</f>
        <v>350000</v>
      </c>
      <c r="D51" s="287">
        <f>[6]BREAKDOWN!F688</f>
        <v>450000</v>
      </c>
      <c r="E51" s="288">
        <f>'BREAKDOWN OF IGR'!G691</f>
        <v>450000</v>
      </c>
    </row>
    <row r="52" spans="1:5">
      <c r="A52" s="7">
        <v>49</v>
      </c>
      <c r="B52" s="105" t="s">
        <v>116</v>
      </c>
      <c r="C52" s="286">
        <f>[6]BREAKDOWN!E695</f>
        <v>2100000</v>
      </c>
      <c r="D52" s="287">
        <f>[6]BREAKDOWN!F695</f>
        <v>2700000</v>
      </c>
      <c r="E52" s="288">
        <f>'BREAKDOWN OF IGR'!G698</f>
        <v>2700001</v>
      </c>
    </row>
    <row r="53" spans="1:5">
      <c r="A53" s="7">
        <v>50</v>
      </c>
      <c r="B53" s="105" t="s">
        <v>115</v>
      </c>
      <c r="C53" s="286">
        <f>[6]BREAKDOWN!E699</f>
        <v>3250000</v>
      </c>
      <c r="D53" s="287">
        <f>[6]BREAKDOWN!F699</f>
        <v>4658062.5</v>
      </c>
      <c r="E53" s="288">
        <f>'BREAKDOWN OF IGR'!G702</f>
        <v>4658063.5</v>
      </c>
    </row>
    <row r="54" spans="1:5">
      <c r="A54" s="7">
        <v>51</v>
      </c>
      <c r="B54" s="105" t="s">
        <v>119</v>
      </c>
      <c r="C54" s="286">
        <f>[6]BREAKDOWN!E704</f>
        <v>13050000</v>
      </c>
      <c r="D54" s="287">
        <f>[6]BREAKDOWN!F704</f>
        <v>16900000</v>
      </c>
      <c r="E54" s="288">
        <f>'BREAKDOWN OF IGR'!G707</f>
        <v>16900000</v>
      </c>
    </row>
    <row r="55" spans="1:5">
      <c r="A55" s="7">
        <v>52</v>
      </c>
      <c r="B55" s="105" t="s">
        <v>132</v>
      </c>
      <c r="C55" s="286">
        <f>[6]BREAKDOWN!E722</f>
        <v>75894359</v>
      </c>
      <c r="D55" s="287">
        <f>[6]BREAKDOWN!F722</f>
        <v>22401584</v>
      </c>
      <c r="E55" s="288">
        <f>'BREAKDOWN OF IGR'!G725</f>
        <v>22401584</v>
      </c>
    </row>
    <row r="56" spans="1:5">
      <c r="A56" s="7">
        <v>53</v>
      </c>
      <c r="B56" s="105" t="s">
        <v>218</v>
      </c>
      <c r="C56" s="286">
        <f>[6]BREAKDOWN!E729</f>
        <v>11500000</v>
      </c>
      <c r="D56" s="287">
        <f>[6]BREAKDOWN!F729</f>
        <v>15000000</v>
      </c>
      <c r="E56" s="288">
        <f>'BREAKDOWN OF IGR'!G732</f>
        <v>15000000</v>
      </c>
    </row>
    <row r="57" spans="1:5">
      <c r="A57" s="7">
        <v>54</v>
      </c>
      <c r="B57" s="105" t="s">
        <v>112</v>
      </c>
      <c r="C57" s="286">
        <f>[6]BREAKDOWN!E739</f>
        <v>0</v>
      </c>
      <c r="D57" s="287">
        <f>[6]BREAKDOWN!F739</f>
        <v>1201800000</v>
      </c>
      <c r="E57" s="288">
        <f>'BREAKDOWN OF IGR'!G742</f>
        <v>600900000</v>
      </c>
    </row>
    <row r="58" spans="1:5">
      <c r="A58" s="7">
        <v>55</v>
      </c>
      <c r="B58" s="105" t="s">
        <v>120</v>
      </c>
      <c r="C58" s="292">
        <f>[6]BREAKDOWN!E749</f>
        <v>37259007</v>
      </c>
      <c r="D58" s="293">
        <f>[6]BREAKDOWN!F749</f>
        <v>39121957.75</v>
      </c>
      <c r="E58" s="292">
        <f>'BREAKDOWN OF IGR'!G752</f>
        <v>39121957.75</v>
      </c>
    </row>
    <row r="59" spans="1:5">
      <c r="A59" s="7">
        <v>56</v>
      </c>
      <c r="B59" s="105" t="s">
        <v>155</v>
      </c>
      <c r="C59" s="286">
        <f>[6]BREAKDOWN!E754</f>
        <v>1000000</v>
      </c>
      <c r="D59" s="287">
        <f>[6]BREAKDOWN!F754</f>
        <v>280000</v>
      </c>
      <c r="E59" s="288">
        <f>'BREAKDOWN OF IGR'!G757</f>
        <v>280000</v>
      </c>
    </row>
    <row r="60" spans="1:5">
      <c r="A60" s="7">
        <v>57</v>
      </c>
      <c r="B60" s="105" t="s">
        <v>219</v>
      </c>
      <c r="C60" s="286">
        <f>[6]BREAKDOWN!E764</f>
        <v>18492000</v>
      </c>
      <c r="D60" s="287">
        <f>[6]BREAKDOWN!F764</f>
        <v>39592000</v>
      </c>
      <c r="E60" s="288">
        <f>'BREAKDOWN OF IGR'!G767</f>
        <v>39592000</v>
      </c>
    </row>
    <row r="61" spans="1:5">
      <c r="A61" s="7">
        <v>58</v>
      </c>
      <c r="B61" s="105" t="s">
        <v>110</v>
      </c>
      <c r="C61" s="294">
        <f>[6]BREAKDOWN!E773</f>
        <v>4819000</v>
      </c>
      <c r="D61" s="287">
        <f>[6]BREAKDOWN!F773</f>
        <v>6264700</v>
      </c>
      <c r="E61" s="288">
        <f>'BREAKDOWN OF IGR'!G776</f>
        <v>6264700</v>
      </c>
    </row>
    <row r="62" spans="1:5">
      <c r="A62" s="7">
        <v>59</v>
      </c>
      <c r="B62" s="105" t="s">
        <v>151</v>
      </c>
      <c r="C62" s="286">
        <f>[6]BREAKDOWN!E780</f>
        <v>7007500</v>
      </c>
      <c r="D62" s="287">
        <f>[6]BREAKDOWN!F780</f>
        <v>9109750</v>
      </c>
      <c r="E62" s="288">
        <f>'BREAKDOWN OF IGR'!G783</f>
        <v>9109751</v>
      </c>
    </row>
    <row r="63" spans="1:5">
      <c r="A63" s="7">
        <v>60</v>
      </c>
      <c r="B63" s="105" t="s">
        <v>220</v>
      </c>
      <c r="C63" s="286">
        <f>[6]BREAKDOWN!E787</f>
        <v>504650000</v>
      </c>
      <c r="D63" s="287">
        <f>[6]BREAKDOWN!F787</f>
        <v>15600000</v>
      </c>
      <c r="E63" s="288">
        <f>'BREAKDOWN OF IGR'!G790</f>
        <v>518750000</v>
      </c>
    </row>
    <row r="64" spans="1:5">
      <c r="A64" s="6"/>
      <c r="B64" s="103" t="s">
        <v>221</v>
      </c>
      <c r="C64" s="295">
        <f>SUM(C4:C63)</f>
        <v>45823866438</v>
      </c>
      <c r="D64" s="287">
        <f>SUM(D4:D63)</f>
        <v>59056942269.107018</v>
      </c>
      <c r="E64" s="287">
        <f>SUM(E4:E63)</f>
        <v>50228877278.107018</v>
      </c>
    </row>
    <row r="65" spans="1:5">
      <c r="A65" s="7"/>
      <c r="B65" s="75" t="s">
        <v>222</v>
      </c>
      <c r="C65" s="288">
        <v>33795300000</v>
      </c>
      <c r="D65" s="287">
        <v>30146488899.75</v>
      </c>
      <c r="E65" s="288">
        <f>'BREAKDOWN OF IGR'!G792</f>
        <v>34919424430.150002</v>
      </c>
    </row>
    <row r="66" spans="1:5">
      <c r="A66" s="7"/>
      <c r="B66" s="75" t="s">
        <v>223</v>
      </c>
      <c r="C66" s="288">
        <v>12626460737</v>
      </c>
      <c r="D66" s="287">
        <v>9469838052.75</v>
      </c>
      <c r="E66" s="288">
        <v>9469838052.75</v>
      </c>
    </row>
    <row r="67" spans="1:5">
      <c r="A67" s="6"/>
      <c r="B67" s="5" t="s">
        <v>165</v>
      </c>
      <c r="C67" s="295">
        <f>[6]BREAKDOWN!E791</f>
        <v>92245627175</v>
      </c>
      <c r="D67" s="295">
        <f>SUM(D64:D66)</f>
        <v>98673269221.607025</v>
      </c>
      <c r="E67" s="295">
        <f>SUM(E64:E66)</f>
        <v>94618139761.007019</v>
      </c>
    </row>
    <row r="68" spans="1:5">
      <c r="E68" s="109"/>
    </row>
    <row r="70" spans="1:5">
      <c r="E70" s="109"/>
    </row>
  </sheetData>
  <mergeCells count="1">
    <mergeCell ref="A1:E1"/>
  </mergeCells>
  <printOptions horizontalCentered="1"/>
  <pageMargins left="0.70866141732283472" right="0.47244094488188981" top="0.47244094488188981" bottom="0.51181102362204722" header="0.31496062992125984" footer="0.19685039370078741"/>
  <pageSetup paperSize="9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9"/>
  <sheetViews>
    <sheetView topLeftCell="A555" zoomScaleNormal="100" workbookViewId="0">
      <selection activeCell="G562" sqref="G562"/>
    </sheetView>
  </sheetViews>
  <sheetFormatPr defaultRowHeight="15"/>
  <cols>
    <col min="1" max="1" width="10.5703125" customWidth="1"/>
    <col min="2" max="2" width="42.140625" customWidth="1"/>
    <col min="3" max="3" width="12.85546875" customWidth="1"/>
    <col min="4" max="4" width="31.7109375" customWidth="1"/>
    <col min="5" max="5" width="18" customWidth="1"/>
    <col min="6" max="6" width="20" hidden="1" customWidth="1"/>
    <col min="7" max="7" width="17.28515625" style="78" customWidth="1"/>
    <col min="8" max="8" width="16.140625" customWidth="1"/>
  </cols>
  <sheetData>
    <row r="1" spans="1:7" ht="18.75">
      <c r="A1" s="520" t="s">
        <v>699</v>
      </c>
      <c r="B1" s="520"/>
      <c r="C1" s="520"/>
      <c r="D1" s="520"/>
      <c r="E1" s="520"/>
      <c r="F1" s="520"/>
      <c r="G1" s="520"/>
    </row>
    <row r="2" spans="1:7">
      <c r="A2" s="120"/>
      <c r="C2" s="108"/>
      <c r="D2" s="108"/>
      <c r="E2" s="102"/>
      <c r="F2" s="102"/>
    </row>
    <row r="3" spans="1:7" s="20" customFormat="1" ht="30">
      <c r="A3" s="30" t="s">
        <v>224</v>
      </c>
      <c r="B3" s="231" t="s">
        <v>198</v>
      </c>
      <c r="C3" s="231" t="s">
        <v>225</v>
      </c>
      <c r="D3" s="231" t="s">
        <v>226</v>
      </c>
      <c r="E3" s="386" t="s">
        <v>162</v>
      </c>
      <c r="F3" s="387" t="s">
        <v>683</v>
      </c>
      <c r="G3" s="247" t="s">
        <v>2134</v>
      </c>
    </row>
    <row r="4" spans="1:7" s="20" customFormat="1" ht="30">
      <c r="A4" s="32">
        <v>160001001</v>
      </c>
      <c r="B4" s="332" t="s">
        <v>754</v>
      </c>
      <c r="C4" s="388">
        <v>12040053</v>
      </c>
      <c r="D4" s="332" t="s">
        <v>2135</v>
      </c>
      <c r="E4" s="297">
        <v>50000000</v>
      </c>
      <c r="F4" s="114">
        <v>103200000</v>
      </c>
      <c r="G4" s="114">
        <v>103200000</v>
      </c>
    </row>
    <row r="5" spans="1:7" s="20" customFormat="1" ht="30">
      <c r="A5" s="32">
        <v>160001001</v>
      </c>
      <c r="B5" s="332" t="s">
        <v>754</v>
      </c>
      <c r="C5" s="388">
        <v>12040171</v>
      </c>
      <c r="D5" s="332" t="s">
        <v>227</v>
      </c>
      <c r="E5" s="297">
        <v>5000000</v>
      </c>
      <c r="F5" s="114">
        <v>5000000</v>
      </c>
      <c r="G5" s="114">
        <v>5000000</v>
      </c>
    </row>
    <row r="6" spans="1:7" s="20" customFormat="1" ht="30">
      <c r="A6" s="32">
        <v>160001001</v>
      </c>
      <c r="B6" s="332" t="s">
        <v>754</v>
      </c>
      <c r="C6" s="388">
        <v>12040053</v>
      </c>
      <c r="D6" s="332" t="s">
        <v>228</v>
      </c>
      <c r="E6" s="297">
        <v>30000000</v>
      </c>
      <c r="F6" s="114">
        <v>0</v>
      </c>
      <c r="G6" s="114">
        <v>0</v>
      </c>
    </row>
    <row r="7" spans="1:7" s="20" customFormat="1" ht="30">
      <c r="A7" s="32">
        <v>160001001</v>
      </c>
      <c r="B7" s="332" t="s">
        <v>754</v>
      </c>
      <c r="C7" s="388">
        <v>12040164</v>
      </c>
      <c r="D7" s="332" t="s">
        <v>229</v>
      </c>
      <c r="E7" s="297">
        <v>2000000</v>
      </c>
      <c r="F7" s="114">
        <v>2000000</v>
      </c>
      <c r="G7" s="114">
        <v>2000000</v>
      </c>
    </row>
    <row r="8" spans="1:7" s="20" customFormat="1" ht="30">
      <c r="A8" s="32">
        <v>160001001</v>
      </c>
      <c r="B8" s="332" t="s">
        <v>754</v>
      </c>
      <c r="C8" s="388">
        <v>12040157</v>
      </c>
      <c r="D8" s="332" t="s">
        <v>230</v>
      </c>
      <c r="E8" s="297">
        <v>2000000</v>
      </c>
      <c r="F8" s="114">
        <v>2000000</v>
      </c>
      <c r="G8" s="114">
        <v>2000000</v>
      </c>
    </row>
    <row r="9" spans="1:7" s="20" customFormat="1" ht="30">
      <c r="A9" s="32">
        <v>160001001</v>
      </c>
      <c r="B9" s="332" t="s">
        <v>754</v>
      </c>
      <c r="C9" s="388">
        <v>12040333</v>
      </c>
      <c r="D9" s="332" t="s">
        <v>231</v>
      </c>
      <c r="E9" s="297">
        <v>0</v>
      </c>
      <c r="F9" s="114">
        <v>5200000</v>
      </c>
      <c r="G9" s="114">
        <v>5200000</v>
      </c>
    </row>
    <row r="10" spans="1:7" s="20" customFormat="1" ht="30">
      <c r="A10" s="32">
        <v>160001001</v>
      </c>
      <c r="B10" s="332" t="s">
        <v>754</v>
      </c>
      <c r="C10" s="388">
        <v>12040609</v>
      </c>
      <c r="D10" s="332" t="s">
        <v>232</v>
      </c>
      <c r="E10" s="297">
        <v>5000000</v>
      </c>
      <c r="F10" s="114">
        <v>5000000</v>
      </c>
      <c r="G10" s="114">
        <v>5000000</v>
      </c>
    </row>
    <row r="11" spans="1:7" s="20" customFormat="1" ht="30">
      <c r="A11" s="32">
        <v>160001001</v>
      </c>
      <c r="B11" s="332" t="s">
        <v>754</v>
      </c>
      <c r="C11" s="388">
        <v>12040162</v>
      </c>
      <c r="D11" s="332" t="s">
        <v>233</v>
      </c>
      <c r="E11" s="297">
        <v>40000000</v>
      </c>
      <c r="F11" s="114">
        <v>80000000</v>
      </c>
      <c r="G11" s="114">
        <v>80000000</v>
      </c>
    </row>
    <row r="12" spans="1:7" s="20" customFormat="1" ht="30">
      <c r="A12" s="32">
        <v>160001001</v>
      </c>
      <c r="B12" s="332" t="s">
        <v>754</v>
      </c>
      <c r="C12" s="388">
        <v>12040154</v>
      </c>
      <c r="D12" s="332" t="s">
        <v>2136</v>
      </c>
      <c r="E12" s="297">
        <v>50000000</v>
      </c>
      <c r="F12" s="114">
        <v>125000000</v>
      </c>
      <c r="G12" s="114">
        <v>125000000</v>
      </c>
    </row>
    <row r="13" spans="1:7" s="20" customFormat="1" ht="30">
      <c r="A13" s="32">
        <v>160001001</v>
      </c>
      <c r="B13" s="332" t="s">
        <v>754</v>
      </c>
      <c r="C13" s="388">
        <v>12040664</v>
      </c>
      <c r="D13" s="332" t="s">
        <v>234</v>
      </c>
      <c r="E13" s="297">
        <v>7000000</v>
      </c>
      <c r="F13" s="114">
        <v>5000000</v>
      </c>
      <c r="G13" s="114">
        <v>5000000</v>
      </c>
    </row>
    <row r="14" spans="1:7" s="20" customFormat="1" ht="30">
      <c r="A14" s="32">
        <v>160001001</v>
      </c>
      <c r="B14" s="332" t="s">
        <v>754</v>
      </c>
      <c r="C14" s="388">
        <v>12040153</v>
      </c>
      <c r="D14" s="332" t="s">
        <v>235</v>
      </c>
      <c r="E14" s="297">
        <v>2000000000</v>
      </c>
      <c r="F14" s="114">
        <v>5500000000</v>
      </c>
      <c r="G14" s="114">
        <v>2000000000</v>
      </c>
    </row>
    <row r="15" spans="1:7" s="20" customFormat="1" ht="30">
      <c r="A15" s="32">
        <v>160001001</v>
      </c>
      <c r="B15" s="332" t="s">
        <v>754</v>
      </c>
      <c r="C15" s="388">
        <v>12040154</v>
      </c>
      <c r="D15" s="332" t="s">
        <v>236</v>
      </c>
      <c r="E15" s="297">
        <v>500000000</v>
      </c>
      <c r="F15" s="114">
        <v>1000000000</v>
      </c>
      <c r="G15" s="114">
        <v>500000000</v>
      </c>
    </row>
    <row r="16" spans="1:7" s="20" customFormat="1" ht="30">
      <c r="A16" s="32">
        <v>160001001</v>
      </c>
      <c r="B16" s="332" t="s">
        <v>754</v>
      </c>
      <c r="C16" s="388">
        <v>12040160</v>
      </c>
      <c r="D16" s="332" t="s">
        <v>237</v>
      </c>
      <c r="E16" s="297">
        <v>110000000</v>
      </c>
      <c r="F16" s="114">
        <v>202500000</v>
      </c>
      <c r="G16" s="114">
        <v>202500000</v>
      </c>
    </row>
    <row r="17" spans="1:7" s="20" customFormat="1" ht="30">
      <c r="A17" s="32">
        <v>160001001</v>
      </c>
      <c r="B17" s="332" t="s">
        <v>754</v>
      </c>
      <c r="C17" s="388">
        <v>12040150</v>
      </c>
      <c r="D17" s="332" t="s">
        <v>238</v>
      </c>
      <c r="E17" s="297">
        <v>1000000000</v>
      </c>
      <c r="F17" s="114">
        <v>1800000000</v>
      </c>
      <c r="G17" s="114">
        <v>1000000000</v>
      </c>
    </row>
    <row r="18" spans="1:7" s="20" customFormat="1" ht="30">
      <c r="A18" s="32">
        <v>160001001</v>
      </c>
      <c r="B18" s="332" t="s">
        <v>754</v>
      </c>
      <c r="C18" s="388">
        <v>12040568</v>
      </c>
      <c r="D18" s="240" t="s">
        <v>239</v>
      </c>
      <c r="E18" s="297">
        <v>0</v>
      </c>
      <c r="F18" s="114">
        <v>1300030000</v>
      </c>
      <c r="G18" s="114">
        <v>1300030000</v>
      </c>
    </row>
    <row r="19" spans="1:7" s="20" customFormat="1" ht="30">
      <c r="A19" s="32">
        <v>160001001</v>
      </c>
      <c r="B19" s="332" t="s">
        <v>754</v>
      </c>
      <c r="C19" s="388">
        <v>12040158</v>
      </c>
      <c r="D19" s="332" t="s">
        <v>240</v>
      </c>
      <c r="E19" s="297">
        <v>0</v>
      </c>
      <c r="F19" s="114">
        <v>131434125</v>
      </c>
      <c r="G19" s="114">
        <v>131434125</v>
      </c>
    </row>
    <row r="20" spans="1:7" s="20" customFormat="1" ht="30">
      <c r="A20" s="32">
        <v>160001001</v>
      </c>
      <c r="B20" s="332" t="s">
        <v>754</v>
      </c>
      <c r="C20" s="332"/>
      <c r="D20" s="332" t="s">
        <v>1780</v>
      </c>
      <c r="E20" s="297">
        <v>5000000</v>
      </c>
      <c r="F20" s="114">
        <v>2000000</v>
      </c>
      <c r="G20" s="114">
        <v>2000000</v>
      </c>
    </row>
    <row r="21" spans="1:7" s="20" customFormat="1" ht="30">
      <c r="A21" s="32">
        <v>160001001</v>
      </c>
      <c r="B21" s="332" t="s">
        <v>754</v>
      </c>
      <c r="C21" s="332"/>
      <c r="D21" s="332" t="s">
        <v>241</v>
      </c>
      <c r="E21" s="297"/>
      <c r="F21" s="114">
        <v>2000000</v>
      </c>
      <c r="G21" s="114">
        <v>2000000</v>
      </c>
    </row>
    <row r="22" spans="1:7" s="66" customFormat="1">
      <c r="A22" s="30"/>
      <c r="B22" s="231"/>
      <c r="C22" s="231"/>
      <c r="D22" s="231" t="s">
        <v>242</v>
      </c>
      <c r="E22" s="114">
        <f>SUM(E4:E21)</f>
        <v>3806000000</v>
      </c>
      <c r="F22" s="114">
        <f>SUM(F4:F21)</f>
        <v>10270364125</v>
      </c>
      <c r="G22" s="114">
        <f>SUM(G4:G21)</f>
        <v>5470364125</v>
      </c>
    </row>
    <row r="23" spans="1:7" s="20" customFormat="1">
      <c r="A23" s="30"/>
      <c r="B23" s="231"/>
      <c r="C23" s="231"/>
      <c r="D23" s="231"/>
      <c r="E23" s="114"/>
      <c r="F23" s="114"/>
      <c r="G23" s="297"/>
    </row>
    <row r="24" spans="1:7" s="20" customFormat="1">
      <c r="A24" s="32"/>
      <c r="B24" s="332"/>
      <c r="C24" s="332"/>
      <c r="D24" s="332"/>
      <c r="E24" s="297"/>
      <c r="F24" s="114"/>
      <c r="G24" s="297"/>
    </row>
    <row r="25" spans="1:7" s="20" customFormat="1" ht="30">
      <c r="A25" s="32">
        <v>1100003</v>
      </c>
      <c r="B25" s="332" t="s">
        <v>243</v>
      </c>
      <c r="C25" s="332">
        <v>12040036</v>
      </c>
      <c r="D25" s="332" t="s">
        <v>244</v>
      </c>
      <c r="E25" s="297">
        <v>400000000</v>
      </c>
      <c r="F25" s="114">
        <v>400000000</v>
      </c>
      <c r="G25" s="297">
        <f>F25/2</f>
        <v>200000000</v>
      </c>
    </row>
    <row r="26" spans="1:7" s="20" customFormat="1" ht="30">
      <c r="A26" s="32">
        <v>1100003</v>
      </c>
      <c r="B26" s="332" t="s">
        <v>243</v>
      </c>
      <c r="C26" s="332">
        <v>12040142</v>
      </c>
      <c r="D26" s="332" t="s">
        <v>245</v>
      </c>
      <c r="E26" s="297">
        <v>100000000</v>
      </c>
      <c r="F26" s="114">
        <v>500000</v>
      </c>
      <c r="G26" s="297">
        <f t="shared" ref="G26:G30" si="0">F26/2</f>
        <v>250000</v>
      </c>
    </row>
    <row r="27" spans="1:7" s="20" customFormat="1" ht="30">
      <c r="A27" s="32">
        <v>1100003</v>
      </c>
      <c r="B27" s="332" t="s">
        <v>243</v>
      </c>
      <c r="C27" s="332">
        <v>12040266</v>
      </c>
      <c r="D27" s="332" t="s">
        <v>246</v>
      </c>
      <c r="E27" s="297">
        <v>600000000</v>
      </c>
      <c r="F27" s="114">
        <v>600000000</v>
      </c>
      <c r="G27" s="297">
        <f t="shared" si="0"/>
        <v>300000000</v>
      </c>
    </row>
    <row r="28" spans="1:7" s="20" customFormat="1" ht="30">
      <c r="A28" s="32">
        <v>1100003</v>
      </c>
      <c r="B28" s="332" t="s">
        <v>243</v>
      </c>
      <c r="C28" s="332">
        <v>12040656</v>
      </c>
      <c r="D28" s="332" t="s">
        <v>247</v>
      </c>
      <c r="E28" s="297">
        <v>100000000</v>
      </c>
      <c r="F28" s="114">
        <v>0</v>
      </c>
      <c r="G28" s="297">
        <f t="shared" si="0"/>
        <v>0</v>
      </c>
    </row>
    <row r="29" spans="1:7" s="20" customFormat="1" ht="30">
      <c r="A29" s="32">
        <v>1100003</v>
      </c>
      <c r="B29" s="332" t="s">
        <v>243</v>
      </c>
      <c r="C29" s="332">
        <v>12080001</v>
      </c>
      <c r="D29" s="332" t="s">
        <v>248</v>
      </c>
      <c r="E29" s="297">
        <v>50000000</v>
      </c>
      <c r="F29" s="114">
        <v>0</v>
      </c>
      <c r="G29" s="297">
        <f t="shared" si="0"/>
        <v>0</v>
      </c>
    </row>
    <row r="30" spans="1:7" s="20" customFormat="1" ht="30">
      <c r="A30" s="32">
        <v>1100003</v>
      </c>
      <c r="B30" s="332" t="s">
        <v>243</v>
      </c>
      <c r="C30" s="332">
        <v>12080013</v>
      </c>
      <c r="D30" s="332" t="s">
        <v>249</v>
      </c>
      <c r="E30" s="297">
        <v>100000000</v>
      </c>
      <c r="F30" s="114">
        <v>0</v>
      </c>
      <c r="G30" s="297">
        <f t="shared" si="0"/>
        <v>0</v>
      </c>
    </row>
    <row r="31" spans="1:7" s="66" customFormat="1">
      <c r="A31" s="30"/>
      <c r="B31" s="231"/>
      <c r="C31" s="231"/>
      <c r="D31" s="231" t="s">
        <v>242</v>
      </c>
      <c r="E31" s="114">
        <f>SUM(E25:E30)</f>
        <v>1350000000</v>
      </c>
      <c r="F31" s="114">
        <f>SUM(F25:F30)</f>
        <v>1000500000</v>
      </c>
      <c r="G31" s="114">
        <f>SUM(G25:G30)</f>
        <v>500250000</v>
      </c>
    </row>
    <row r="32" spans="1:7" s="20" customFormat="1">
      <c r="A32" s="32"/>
      <c r="B32" s="332"/>
      <c r="C32" s="332"/>
      <c r="D32" s="332"/>
      <c r="E32" s="297"/>
      <c r="F32" s="114"/>
      <c r="G32" s="297"/>
    </row>
    <row r="33" spans="1:7" s="20" customFormat="1">
      <c r="A33" s="32"/>
      <c r="B33" s="332"/>
      <c r="C33" s="332"/>
      <c r="D33" s="332"/>
      <c r="E33" s="297"/>
      <c r="F33" s="114"/>
      <c r="G33" s="297"/>
    </row>
    <row r="34" spans="1:7" s="20" customFormat="1" ht="30">
      <c r="A34" s="32">
        <v>111001005</v>
      </c>
      <c r="B34" s="332" t="s">
        <v>114</v>
      </c>
      <c r="C34" s="332">
        <v>12060166</v>
      </c>
      <c r="D34" s="332" t="s">
        <v>250</v>
      </c>
      <c r="E34" s="297">
        <v>45914601.600000001</v>
      </c>
      <c r="F34" s="114">
        <f>45914601.6+22975664</f>
        <v>68890265.599999994</v>
      </c>
      <c r="G34" s="297">
        <f>45914601.6+22975664</f>
        <v>68890265.599999994</v>
      </c>
    </row>
    <row r="35" spans="1:7" s="20" customFormat="1" ht="30">
      <c r="A35" s="32">
        <v>111001005</v>
      </c>
      <c r="B35" s="332" t="s">
        <v>114</v>
      </c>
      <c r="C35" s="332">
        <v>12060167</v>
      </c>
      <c r="D35" s="332" t="s">
        <v>251</v>
      </c>
      <c r="E35" s="297">
        <v>30609734.400000002</v>
      </c>
      <c r="F35" s="114">
        <v>30609734.400000002</v>
      </c>
      <c r="G35" s="297">
        <v>30609735.399999999</v>
      </c>
    </row>
    <row r="36" spans="1:7" s="66" customFormat="1">
      <c r="A36" s="30"/>
      <c r="B36" s="231"/>
      <c r="C36" s="231"/>
      <c r="D36" s="231" t="s">
        <v>242</v>
      </c>
      <c r="E36" s="114">
        <f>SUM(E34:E35)</f>
        <v>76524336</v>
      </c>
      <c r="F36" s="114">
        <f>SUM(F34:F35)</f>
        <v>99500000</v>
      </c>
      <c r="G36" s="114">
        <f>SUM(G34:G35)</f>
        <v>99500001</v>
      </c>
    </row>
    <row r="37" spans="1:7" s="20" customFormat="1">
      <c r="A37" s="32"/>
      <c r="B37" s="332"/>
      <c r="C37" s="332"/>
      <c r="D37" s="332"/>
      <c r="E37" s="297"/>
      <c r="F37" s="114"/>
      <c r="G37" s="297"/>
    </row>
    <row r="38" spans="1:7" s="20" customFormat="1">
      <c r="A38" s="32"/>
      <c r="B38" s="332"/>
      <c r="C38" s="332"/>
      <c r="D38" s="332"/>
      <c r="E38" s="297"/>
      <c r="F38" s="114"/>
      <c r="G38" s="297"/>
    </row>
    <row r="39" spans="1:7" s="20" customFormat="1">
      <c r="A39" s="32">
        <v>123013001</v>
      </c>
      <c r="B39" s="332" t="s">
        <v>113</v>
      </c>
      <c r="C39" s="525">
        <v>12070029</v>
      </c>
      <c r="D39" s="525" t="s">
        <v>252</v>
      </c>
      <c r="E39" s="526">
        <v>18000000</v>
      </c>
      <c r="F39" s="527">
        <f>18000000+10000000</f>
        <v>28000000</v>
      </c>
      <c r="G39" s="521">
        <f>18000000+10000000</f>
        <v>28000000</v>
      </c>
    </row>
    <row r="40" spans="1:7" s="20" customFormat="1">
      <c r="A40" s="32">
        <v>123013001</v>
      </c>
      <c r="B40" s="332" t="s">
        <v>113</v>
      </c>
      <c r="C40" s="525"/>
      <c r="D40" s="525"/>
      <c r="E40" s="526"/>
      <c r="F40" s="528"/>
      <c r="G40" s="522"/>
    </row>
    <row r="41" spans="1:7" s="20" customFormat="1">
      <c r="A41" s="32">
        <v>123013001</v>
      </c>
      <c r="B41" s="332" t="s">
        <v>113</v>
      </c>
      <c r="C41" s="525">
        <v>12060027</v>
      </c>
      <c r="D41" s="525" t="s">
        <v>253</v>
      </c>
      <c r="E41" s="526">
        <v>3000000</v>
      </c>
      <c r="F41" s="527">
        <f>3000000+420000</f>
        <v>3420000</v>
      </c>
      <c r="G41" s="521">
        <f>3000000+420000</f>
        <v>3420000</v>
      </c>
    </row>
    <row r="42" spans="1:7" s="20" customFormat="1">
      <c r="A42" s="32">
        <v>123013001</v>
      </c>
      <c r="B42" s="332" t="s">
        <v>113</v>
      </c>
      <c r="C42" s="525"/>
      <c r="D42" s="525"/>
      <c r="E42" s="526"/>
      <c r="F42" s="528"/>
      <c r="G42" s="522"/>
    </row>
    <row r="43" spans="1:7" s="20" customFormat="1">
      <c r="A43" s="32">
        <v>123013001</v>
      </c>
      <c r="B43" s="332" t="s">
        <v>113</v>
      </c>
      <c r="C43" s="525">
        <v>12060117</v>
      </c>
      <c r="D43" s="525" t="s">
        <v>254</v>
      </c>
      <c r="E43" s="531">
        <f>3000000+536000</f>
        <v>3536000</v>
      </c>
      <c r="F43" s="527">
        <f>3000000+536000</f>
        <v>3536000</v>
      </c>
      <c r="G43" s="521">
        <f>3000000+536000</f>
        <v>3536000</v>
      </c>
    </row>
    <row r="44" spans="1:7" s="20" customFormat="1">
      <c r="A44" s="32">
        <v>123013001</v>
      </c>
      <c r="B44" s="332" t="s">
        <v>113</v>
      </c>
      <c r="C44" s="525"/>
      <c r="D44" s="525"/>
      <c r="E44" s="531"/>
      <c r="F44" s="528"/>
      <c r="G44" s="522"/>
    </row>
    <row r="45" spans="1:7" s="20" customFormat="1">
      <c r="A45" s="32">
        <v>123013001</v>
      </c>
      <c r="B45" s="332" t="s">
        <v>113</v>
      </c>
      <c r="C45" s="525">
        <v>12060161</v>
      </c>
      <c r="D45" s="525" t="s">
        <v>255</v>
      </c>
      <c r="E45" s="526">
        <v>40000</v>
      </c>
      <c r="F45" s="527">
        <v>40000</v>
      </c>
      <c r="G45" s="521">
        <v>40000</v>
      </c>
    </row>
    <row r="46" spans="1:7" s="20" customFormat="1">
      <c r="A46" s="32">
        <v>123013001</v>
      </c>
      <c r="B46" s="332" t="s">
        <v>113</v>
      </c>
      <c r="C46" s="525"/>
      <c r="D46" s="525"/>
      <c r="E46" s="526"/>
      <c r="F46" s="528"/>
      <c r="G46" s="522"/>
    </row>
    <row r="47" spans="1:7" s="20" customFormat="1">
      <c r="A47" s="32">
        <v>123013001</v>
      </c>
      <c r="B47" s="332" t="s">
        <v>113</v>
      </c>
      <c r="C47" s="525">
        <v>12070016</v>
      </c>
      <c r="D47" s="525" t="s">
        <v>256</v>
      </c>
      <c r="E47" s="526">
        <v>4000</v>
      </c>
      <c r="F47" s="529">
        <v>4000</v>
      </c>
      <c r="G47" s="523">
        <v>4000</v>
      </c>
    </row>
    <row r="48" spans="1:7" s="20" customFormat="1">
      <c r="A48" s="32"/>
      <c r="B48" s="332"/>
      <c r="C48" s="525"/>
      <c r="D48" s="525"/>
      <c r="E48" s="526"/>
      <c r="F48" s="530"/>
      <c r="G48" s="524"/>
    </row>
    <row r="49" spans="1:7" s="66" customFormat="1">
      <c r="A49" s="30"/>
      <c r="B49" s="231"/>
      <c r="C49" s="525"/>
      <c r="D49" s="389" t="s">
        <v>242</v>
      </c>
      <c r="E49" s="390">
        <f>E39+E41+E43+E45+E47</f>
        <v>24580000</v>
      </c>
      <c r="F49" s="311">
        <f>F39+F41+F43+F45+F47</f>
        <v>35000000</v>
      </c>
      <c r="G49" s="311">
        <f>G39+G41+G43+G45+G47</f>
        <v>35000000</v>
      </c>
    </row>
    <row r="50" spans="1:7" s="20" customFormat="1">
      <c r="A50" s="32"/>
      <c r="B50" s="332"/>
      <c r="C50" s="525"/>
      <c r="D50" s="389"/>
      <c r="E50" s="390"/>
      <c r="F50" s="391"/>
      <c r="G50" s="312"/>
    </row>
    <row r="51" spans="1:7" s="20" customFormat="1">
      <c r="A51" s="32"/>
      <c r="B51" s="332"/>
      <c r="C51" s="332"/>
      <c r="D51" s="332"/>
      <c r="E51" s="297"/>
      <c r="F51" s="114"/>
      <c r="G51" s="297"/>
    </row>
    <row r="52" spans="1:7" s="20" customFormat="1">
      <c r="A52" s="32"/>
      <c r="B52" s="332"/>
      <c r="C52" s="332"/>
      <c r="D52" s="332"/>
      <c r="E52" s="297"/>
      <c r="F52" s="114"/>
      <c r="G52" s="297"/>
    </row>
    <row r="53" spans="1:7" s="20" customFormat="1" ht="30">
      <c r="A53" s="32">
        <v>111002002</v>
      </c>
      <c r="B53" s="332" t="s">
        <v>1744</v>
      </c>
      <c r="C53" s="332">
        <v>12040153</v>
      </c>
      <c r="D53" s="332" t="s">
        <v>257</v>
      </c>
      <c r="E53" s="297">
        <v>1700000</v>
      </c>
      <c r="F53" s="114">
        <v>2000000</v>
      </c>
      <c r="G53" s="297">
        <v>2000000</v>
      </c>
    </row>
    <row r="54" spans="1:7" s="20" customFormat="1" ht="30">
      <c r="A54" s="32">
        <v>111002002</v>
      </c>
      <c r="B54" s="332" t="s">
        <v>1744</v>
      </c>
      <c r="C54" s="332">
        <v>12042052</v>
      </c>
      <c r="D54" s="332" t="s">
        <v>1745</v>
      </c>
      <c r="E54" s="297">
        <v>0</v>
      </c>
      <c r="F54" s="114">
        <v>70000</v>
      </c>
      <c r="G54" s="297">
        <v>70000</v>
      </c>
    </row>
    <row r="55" spans="1:7" s="20" customFormat="1" ht="30">
      <c r="A55" s="32">
        <v>111002003</v>
      </c>
      <c r="B55" s="332" t="s">
        <v>1744</v>
      </c>
      <c r="C55" s="332" t="s">
        <v>272</v>
      </c>
      <c r="D55" s="332" t="s">
        <v>1739</v>
      </c>
      <c r="E55" s="297">
        <v>600000</v>
      </c>
      <c r="F55" s="114">
        <v>35000000</v>
      </c>
      <c r="G55" s="114">
        <v>35000000</v>
      </c>
    </row>
    <row r="56" spans="1:7" s="20" customFormat="1" ht="30">
      <c r="A56" s="32">
        <v>111002004</v>
      </c>
      <c r="B56" s="332" t="s">
        <v>1744</v>
      </c>
      <c r="C56" s="332" t="s">
        <v>273</v>
      </c>
      <c r="D56" s="332" t="s">
        <v>274</v>
      </c>
      <c r="E56" s="297">
        <v>1000000</v>
      </c>
      <c r="F56" s="114">
        <v>15000000</v>
      </c>
      <c r="G56" s="114">
        <v>15000000</v>
      </c>
    </row>
    <row r="57" spans="1:7" s="66" customFormat="1">
      <c r="A57" s="30"/>
      <c r="B57" s="231"/>
      <c r="C57" s="231"/>
      <c r="D57" s="231" t="s">
        <v>242</v>
      </c>
      <c r="E57" s="114">
        <f>SUM(E53:E54)</f>
        <v>1700000</v>
      </c>
      <c r="F57" s="114">
        <f>SUM(F53:F54)</f>
        <v>2070000</v>
      </c>
      <c r="G57" s="114">
        <f>SUM(G53:G56)</f>
        <v>52070000</v>
      </c>
    </row>
    <row r="58" spans="1:7" s="20" customFormat="1">
      <c r="A58" s="30"/>
      <c r="B58" s="231"/>
      <c r="C58" s="231"/>
      <c r="D58" s="231"/>
      <c r="E58" s="114"/>
      <c r="F58" s="114"/>
      <c r="G58" s="297"/>
    </row>
    <row r="59" spans="1:7" s="20" customFormat="1">
      <c r="A59" s="32"/>
      <c r="B59" s="332"/>
      <c r="C59" s="332"/>
      <c r="D59" s="332"/>
      <c r="E59" s="297"/>
      <c r="F59" s="114"/>
      <c r="G59" s="297"/>
    </row>
    <row r="60" spans="1:7" s="20" customFormat="1" ht="30">
      <c r="A60" s="32">
        <v>111008001</v>
      </c>
      <c r="B60" s="332" t="s">
        <v>200</v>
      </c>
      <c r="C60" s="332">
        <v>12040028</v>
      </c>
      <c r="D60" s="332" t="s">
        <v>258</v>
      </c>
      <c r="E60" s="297">
        <v>32855550</v>
      </c>
      <c r="F60" s="114">
        <v>42712215</v>
      </c>
      <c r="G60" s="297">
        <v>42712216</v>
      </c>
    </row>
    <row r="61" spans="1:7" s="66" customFormat="1">
      <c r="A61" s="30"/>
      <c r="B61" s="231"/>
      <c r="C61" s="231"/>
      <c r="D61" s="231" t="s">
        <v>242</v>
      </c>
      <c r="E61" s="114">
        <f>SUM(E60)</f>
        <v>32855550</v>
      </c>
      <c r="F61" s="114">
        <f>SUM(F60)</f>
        <v>42712215</v>
      </c>
      <c r="G61" s="114">
        <f>SUM(G60)</f>
        <v>42712216</v>
      </c>
    </row>
    <row r="62" spans="1:7" s="20" customFormat="1">
      <c r="A62" s="32"/>
      <c r="B62" s="332"/>
      <c r="C62" s="332"/>
      <c r="D62" s="332"/>
      <c r="E62" s="314"/>
      <c r="F62" s="114"/>
      <c r="G62" s="297"/>
    </row>
    <row r="63" spans="1:7" s="20" customFormat="1">
      <c r="A63" s="32"/>
      <c r="B63" s="332"/>
      <c r="C63" s="332"/>
      <c r="D63" s="332"/>
      <c r="E63" s="297"/>
      <c r="F63" s="114"/>
      <c r="G63" s="297"/>
    </row>
    <row r="64" spans="1:7" s="20" customFormat="1">
      <c r="A64" s="32">
        <v>326051001</v>
      </c>
      <c r="B64" s="332" t="s">
        <v>103</v>
      </c>
      <c r="C64" s="332">
        <v>12040026</v>
      </c>
      <c r="D64" s="332" t="s">
        <v>259</v>
      </c>
      <c r="E64" s="297">
        <v>9900000</v>
      </c>
      <c r="F64" s="114">
        <v>10600000</v>
      </c>
      <c r="G64" s="297">
        <v>10600000</v>
      </c>
    </row>
    <row r="65" spans="1:7" s="20" customFormat="1">
      <c r="A65" s="32">
        <v>326051001</v>
      </c>
      <c r="B65" s="332" t="s">
        <v>103</v>
      </c>
      <c r="C65" s="332">
        <v>12050001</v>
      </c>
      <c r="D65" s="332" t="s">
        <v>1746</v>
      </c>
      <c r="E65" s="297">
        <v>3000000</v>
      </c>
      <c r="F65" s="114">
        <v>3000000</v>
      </c>
      <c r="G65" s="297">
        <v>3000000</v>
      </c>
    </row>
    <row r="66" spans="1:7" s="20" customFormat="1">
      <c r="A66" s="32">
        <v>326051001</v>
      </c>
      <c r="B66" s="332" t="s">
        <v>103</v>
      </c>
      <c r="C66" s="332">
        <v>12040089</v>
      </c>
      <c r="D66" s="332" t="s">
        <v>1747</v>
      </c>
      <c r="E66" s="297">
        <v>2000000</v>
      </c>
      <c r="F66" s="114">
        <v>2000000</v>
      </c>
      <c r="G66" s="297">
        <v>2000000</v>
      </c>
    </row>
    <row r="67" spans="1:7" s="20" customFormat="1">
      <c r="A67" s="32">
        <v>326051001</v>
      </c>
      <c r="B67" s="332" t="s">
        <v>103</v>
      </c>
      <c r="C67" s="332">
        <v>12040283</v>
      </c>
      <c r="D67" s="332" t="s">
        <v>260</v>
      </c>
      <c r="E67" s="297">
        <v>4000000</v>
      </c>
      <c r="F67" s="114">
        <v>4000000</v>
      </c>
      <c r="G67" s="297">
        <v>4000000</v>
      </c>
    </row>
    <row r="68" spans="1:7" s="66" customFormat="1">
      <c r="A68" s="30"/>
      <c r="B68" s="231"/>
      <c r="C68" s="231"/>
      <c r="D68" s="231" t="s">
        <v>242</v>
      </c>
      <c r="E68" s="114">
        <f>SUM(E64:E67)</f>
        <v>18900000</v>
      </c>
      <c r="F68" s="114">
        <f>SUM(F64:F67)</f>
        <v>19600000</v>
      </c>
      <c r="G68" s="114">
        <f>SUM(G64:G67)</f>
        <v>19600000</v>
      </c>
    </row>
    <row r="69" spans="1:7" s="20" customFormat="1">
      <c r="A69" s="32"/>
      <c r="B69" s="332"/>
      <c r="C69" s="332"/>
      <c r="D69" s="332"/>
      <c r="E69" s="297"/>
      <c r="F69" s="114"/>
      <c r="G69" s="297"/>
    </row>
    <row r="70" spans="1:7" s="20" customFormat="1">
      <c r="A70" s="32"/>
      <c r="B70" s="332"/>
      <c r="C70" s="332"/>
      <c r="D70" s="332"/>
      <c r="E70" s="297"/>
      <c r="F70" s="114"/>
      <c r="G70" s="297"/>
    </row>
    <row r="71" spans="1:7" s="20" customFormat="1">
      <c r="A71" s="32">
        <v>326053001</v>
      </c>
      <c r="B71" s="332" t="s">
        <v>101</v>
      </c>
      <c r="C71" s="332">
        <v>12040026</v>
      </c>
      <c r="D71" s="332" t="s">
        <v>1749</v>
      </c>
      <c r="E71" s="297">
        <v>3060000</v>
      </c>
      <c r="F71" s="114">
        <v>3500000</v>
      </c>
      <c r="G71" s="297">
        <v>3500000</v>
      </c>
    </row>
    <row r="72" spans="1:7" s="20" customFormat="1">
      <c r="A72" s="32">
        <v>326053001</v>
      </c>
      <c r="B72" s="332" t="s">
        <v>101</v>
      </c>
      <c r="C72" s="332">
        <v>12050001</v>
      </c>
      <c r="D72" s="332" t="s">
        <v>1750</v>
      </c>
      <c r="E72" s="297">
        <v>3740000</v>
      </c>
      <c r="F72" s="114">
        <v>5000000</v>
      </c>
      <c r="G72" s="297">
        <v>5000000</v>
      </c>
    </row>
    <row r="73" spans="1:7" s="66" customFormat="1">
      <c r="A73" s="30"/>
      <c r="B73" s="231"/>
      <c r="C73" s="231"/>
      <c r="D73" s="231" t="s">
        <v>242</v>
      </c>
      <c r="E73" s="114">
        <f>SUM(E71:E72)</f>
        <v>6800000</v>
      </c>
      <c r="F73" s="114">
        <f>SUM(F71:F72)</f>
        <v>8500000</v>
      </c>
      <c r="G73" s="114">
        <f>SUM(G71:G72)</f>
        <v>8500000</v>
      </c>
    </row>
    <row r="74" spans="1:7" s="20" customFormat="1">
      <c r="A74" s="32"/>
      <c r="B74" s="332"/>
      <c r="C74" s="332"/>
      <c r="D74" s="332"/>
      <c r="E74" s="297"/>
      <c r="F74" s="114"/>
      <c r="G74" s="297"/>
    </row>
    <row r="75" spans="1:7" s="20" customFormat="1">
      <c r="A75" s="32"/>
      <c r="B75" s="332"/>
      <c r="C75" s="332"/>
      <c r="D75" s="332"/>
      <c r="E75" s="297"/>
      <c r="F75" s="114"/>
      <c r="G75" s="297"/>
    </row>
    <row r="76" spans="1:7" s="20" customFormat="1">
      <c r="A76" s="32">
        <v>326053001</v>
      </c>
      <c r="B76" s="332" t="s">
        <v>102</v>
      </c>
      <c r="C76" s="332">
        <v>104184</v>
      </c>
      <c r="D76" s="332" t="s">
        <v>1748</v>
      </c>
      <c r="E76" s="297">
        <v>700000</v>
      </c>
      <c r="F76" s="114">
        <v>3500000</v>
      </c>
      <c r="G76" s="297">
        <v>3500000</v>
      </c>
    </row>
    <row r="77" spans="1:7" s="20" customFormat="1">
      <c r="A77" s="32">
        <v>326053001</v>
      </c>
      <c r="B77" s="332" t="s">
        <v>102</v>
      </c>
      <c r="C77" s="332">
        <v>104038</v>
      </c>
      <c r="D77" s="332" t="s">
        <v>1751</v>
      </c>
      <c r="E77" s="297">
        <v>2385000</v>
      </c>
      <c r="F77" s="114">
        <v>2500000</v>
      </c>
      <c r="G77" s="297">
        <v>2500000</v>
      </c>
    </row>
    <row r="78" spans="1:7" s="20" customFormat="1">
      <c r="A78" s="32">
        <v>326053001</v>
      </c>
      <c r="B78" s="332" t="s">
        <v>102</v>
      </c>
      <c r="C78" s="332">
        <v>104039</v>
      </c>
      <c r="D78" s="332" t="s">
        <v>1752</v>
      </c>
      <c r="E78" s="297">
        <v>3415000</v>
      </c>
      <c r="F78" s="114">
        <v>750000</v>
      </c>
      <c r="G78" s="297">
        <v>750000</v>
      </c>
    </row>
    <row r="79" spans="1:7" s="66" customFormat="1">
      <c r="A79" s="30"/>
      <c r="B79" s="231"/>
      <c r="C79" s="231"/>
      <c r="D79" s="231" t="s">
        <v>242</v>
      </c>
      <c r="E79" s="114">
        <f>SUM(E76:E78)</f>
        <v>6500000</v>
      </c>
      <c r="F79" s="114">
        <f>SUM(F76:F78)</f>
        <v>6750000</v>
      </c>
      <c r="G79" s="114">
        <f>SUM(G76:G78)</f>
        <v>6750000</v>
      </c>
    </row>
    <row r="80" spans="1:7" s="20" customFormat="1">
      <c r="A80" s="32"/>
      <c r="B80" s="332"/>
      <c r="C80" s="332"/>
      <c r="D80" s="332"/>
      <c r="E80" s="297"/>
      <c r="F80" s="114"/>
      <c r="G80" s="297"/>
    </row>
    <row r="81" spans="1:7" s="20" customFormat="1">
      <c r="A81" s="32"/>
      <c r="B81" s="332"/>
      <c r="C81" s="332"/>
      <c r="D81" s="332"/>
      <c r="E81" s="297"/>
      <c r="F81" s="114"/>
      <c r="G81" s="297"/>
    </row>
    <row r="82" spans="1:7" s="20" customFormat="1">
      <c r="A82" s="32">
        <v>215001000</v>
      </c>
      <c r="B82" s="332" t="s">
        <v>134</v>
      </c>
      <c r="C82" s="332" t="s">
        <v>261</v>
      </c>
      <c r="D82" s="332" t="s">
        <v>262</v>
      </c>
      <c r="E82" s="297">
        <v>1000000</v>
      </c>
      <c r="F82" s="114">
        <v>1000000</v>
      </c>
      <c r="G82" s="297">
        <v>1000000</v>
      </c>
    </row>
    <row r="83" spans="1:7" s="20" customFormat="1">
      <c r="A83" s="32">
        <v>215001000</v>
      </c>
      <c r="B83" s="332" t="s">
        <v>134</v>
      </c>
      <c r="C83" s="332" t="s">
        <v>263</v>
      </c>
      <c r="D83" s="332" t="s">
        <v>264</v>
      </c>
      <c r="E83" s="297">
        <v>1500000</v>
      </c>
      <c r="F83" s="114">
        <v>2427100</v>
      </c>
      <c r="G83" s="297">
        <v>2427100</v>
      </c>
    </row>
    <row r="84" spans="1:7" s="20" customFormat="1" ht="30">
      <c r="A84" s="32">
        <v>215001000</v>
      </c>
      <c r="B84" s="332" t="s">
        <v>134</v>
      </c>
      <c r="C84" s="332" t="s">
        <v>265</v>
      </c>
      <c r="D84" s="332" t="s">
        <v>1738</v>
      </c>
      <c r="E84" s="297">
        <v>12000000</v>
      </c>
      <c r="F84" s="114">
        <v>12000000</v>
      </c>
      <c r="G84" s="297">
        <v>12000000</v>
      </c>
    </row>
    <row r="85" spans="1:7" s="20" customFormat="1" ht="30">
      <c r="A85" s="32">
        <v>215001000</v>
      </c>
      <c r="B85" s="332" t="s">
        <v>134</v>
      </c>
      <c r="C85" s="332" t="s">
        <v>266</v>
      </c>
      <c r="D85" s="332" t="s">
        <v>267</v>
      </c>
      <c r="E85" s="297">
        <v>250000</v>
      </c>
      <c r="F85" s="114">
        <v>365400</v>
      </c>
      <c r="G85" s="297">
        <v>365400</v>
      </c>
    </row>
    <row r="86" spans="1:7" s="20" customFormat="1">
      <c r="A86" s="32">
        <v>215001000</v>
      </c>
      <c r="B86" s="332" t="s">
        <v>134</v>
      </c>
      <c r="C86" s="332" t="s">
        <v>268</v>
      </c>
      <c r="D86" s="332" t="s">
        <v>269</v>
      </c>
      <c r="E86" s="297">
        <v>12000000</v>
      </c>
      <c r="F86" s="114">
        <v>0</v>
      </c>
      <c r="G86" s="297">
        <v>0</v>
      </c>
    </row>
    <row r="87" spans="1:7" s="20" customFormat="1">
      <c r="A87" s="32">
        <v>215001000</v>
      </c>
      <c r="B87" s="332" t="s">
        <v>134</v>
      </c>
      <c r="C87" s="332" t="s">
        <v>270</v>
      </c>
      <c r="D87" s="332" t="s">
        <v>271</v>
      </c>
      <c r="E87" s="297">
        <v>100000</v>
      </c>
      <c r="F87" s="114">
        <v>417600</v>
      </c>
      <c r="G87" s="297">
        <v>417600</v>
      </c>
    </row>
    <row r="88" spans="1:7" s="20" customFormat="1" ht="30">
      <c r="A88" s="32">
        <v>215001000</v>
      </c>
      <c r="B88" s="332" t="s">
        <v>134</v>
      </c>
      <c r="C88" s="332" t="s">
        <v>272</v>
      </c>
      <c r="D88" s="332" t="s">
        <v>1739</v>
      </c>
      <c r="E88" s="297">
        <v>600000</v>
      </c>
      <c r="F88" s="114">
        <v>0</v>
      </c>
      <c r="G88" s="297">
        <v>0</v>
      </c>
    </row>
    <row r="89" spans="1:7" s="20" customFormat="1" ht="30">
      <c r="A89" s="32">
        <v>215001000</v>
      </c>
      <c r="B89" s="332" t="s">
        <v>134</v>
      </c>
      <c r="C89" s="332" t="s">
        <v>273</v>
      </c>
      <c r="D89" s="332" t="s">
        <v>274</v>
      </c>
      <c r="E89" s="297">
        <v>1000000</v>
      </c>
      <c r="F89" s="114">
        <v>0</v>
      </c>
      <c r="G89" s="297">
        <v>0</v>
      </c>
    </row>
    <row r="90" spans="1:7" s="20" customFormat="1" ht="30">
      <c r="A90" s="32">
        <v>215001000</v>
      </c>
      <c r="B90" s="332" t="s">
        <v>134</v>
      </c>
      <c r="C90" s="332" t="s">
        <v>275</v>
      </c>
      <c r="D90" s="332" t="s">
        <v>276</v>
      </c>
      <c r="E90" s="297">
        <v>125000</v>
      </c>
      <c r="F90" s="114">
        <v>172000</v>
      </c>
      <c r="G90" s="297">
        <v>172000</v>
      </c>
    </row>
    <row r="91" spans="1:7" s="20" customFormat="1">
      <c r="A91" s="32">
        <v>215001000</v>
      </c>
      <c r="B91" s="332" t="s">
        <v>134</v>
      </c>
      <c r="C91" s="332" t="s">
        <v>277</v>
      </c>
      <c r="D91" s="332" t="s">
        <v>278</v>
      </c>
      <c r="E91" s="297">
        <v>1500000</v>
      </c>
      <c r="F91" s="114">
        <v>1500000</v>
      </c>
      <c r="G91" s="297">
        <v>1500000</v>
      </c>
    </row>
    <row r="92" spans="1:7" s="20" customFormat="1">
      <c r="A92" s="32">
        <v>215001000</v>
      </c>
      <c r="B92" s="332" t="s">
        <v>134</v>
      </c>
      <c r="C92" s="332" t="s">
        <v>279</v>
      </c>
      <c r="D92" s="332" t="s">
        <v>280</v>
      </c>
      <c r="E92" s="297">
        <v>3000000</v>
      </c>
      <c r="F92" s="114">
        <v>2000000</v>
      </c>
      <c r="G92" s="297">
        <v>2000000</v>
      </c>
    </row>
    <row r="93" spans="1:7" s="20" customFormat="1">
      <c r="A93" s="32">
        <v>215001000</v>
      </c>
      <c r="B93" s="332" t="s">
        <v>134</v>
      </c>
      <c r="C93" s="332" t="s">
        <v>281</v>
      </c>
      <c r="D93" s="332" t="s">
        <v>282</v>
      </c>
      <c r="E93" s="297">
        <v>3500000</v>
      </c>
      <c r="F93" s="114">
        <v>3500000</v>
      </c>
      <c r="G93" s="297">
        <v>3500000</v>
      </c>
    </row>
    <row r="94" spans="1:7" s="20" customFormat="1">
      <c r="A94" s="32">
        <v>215001000</v>
      </c>
      <c r="B94" s="332" t="s">
        <v>134</v>
      </c>
      <c r="C94" s="332" t="s">
        <v>283</v>
      </c>
      <c r="D94" s="332" t="s">
        <v>284</v>
      </c>
      <c r="E94" s="297">
        <v>500000</v>
      </c>
      <c r="F94" s="114">
        <v>1000000</v>
      </c>
      <c r="G94" s="297">
        <v>1000000</v>
      </c>
    </row>
    <row r="95" spans="1:7" s="20" customFormat="1">
      <c r="A95" s="32">
        <v>215001000</v>
      </c>
      <c r="B95" s="332" t="s">
        <v>134</v>
      </c>
      <c r="C95" s="332" t="s">
        <v>285</v>
      </c>
      <c r="D95" s="332" t="s">
        <v>286</v>
      </c>
      <c r="E95" s="297">
        <v>500000</v>
      </c>
      <c r="F95" s="114">
        <v>500000</v>
      </c>
      <c r="G95" s="297">
        <v>500000</v>
      </c>
    </row>
    <row r="96" spans="1:7" s="20" customFormat="1">
      <c r="A96" s="32">
        <v>215001000</v>
      </c>
      <c r="B96" s="332" t="s">
        <v>134</v>
      </c>
      <c r="C96" s="332" t="s">
        <v>287</v>
      </c>
      <c r="D96" s="332" t="s">
        <v>288</v>
      </c>
      <c r="E96" s="297">
        <v>27455000</v>
      </c>
      <c r="F96" s="114">
        <v>20000000</v>
      </c>
      <c r="G96" s="297">
        <v>15000000</v>
      </c>
    </row>
    <row r="97" spans="1:7" s="20" customFormat="1">
      <c r="A97" s="32">
        <v>215001000</v>
      </c>
      <c r="B97" s="332" t="s">
        <v>134</v>
      </c>
      <c r="C97" s="240">
        <v>12040052</v>
      </c>
      <c r="D97" s="332" t="s">
        <v>289</v>
      </c>
      <c r="E97" s="297">
        <v>1500000</v>
      </c>
      <c r="F97" s="114"/>
      <c r="G97" s="297"/>
    </row>
    <row r="98" spans="1:7" s="20" customFormat="1" ht="30">
      <c r="A98" s="32">
        <v>215001000</v>
      </c>
      <c r="B98" s="332" t="s">
        <v>134</v>
      </c>
      <c r="C98" s="332" t="s">
        <v>290</v>
      </c>
      <c r="D98" s="332" t="s">
        <v>291</v>
      </c>
      <c r="E98" s="297">
        <v>3600000</v>
      </c>
      <c r="F98" s="114">
        <v>3600000</v>
      </c>
      <c r="G98" s="297">
        <v>3600000</v>
      </c>
    </row>
    <row r="99" spans="1:7" s="20" customFormat="1" ht="30">
      <c r="A99" s="32">
        <v>215001000</v>
      </c>
      <c r="B99" s="332" t="s">
        <v>134</v>
      </c>
      <c r="C99" s="332" t="s">
        <v>292</v>
      </c>
      <c r="D99" s="332" t="s">
        <v>293</v>
      </c>
      <c r="E99" s="297">
        <v>5200000</v>
      </c>
      <c r="F99" s="114">
        <v>3500000</v>
      </c>
      <c r="G99" s="297">
        <v>3500000</v>
      </c>
    </row>
    <row r="100" spans="1:7" s="66" customFormat="1">
      <c r="A100" s="30"/>
      <c r="B100" s="231"/>
      <c r="C100" s="231"/>
      <c r="D100" s="231" t="s">
        <v>242</v>
      </c>
      <c r="E100" s="114">
        <f>SUM(E82:E99)</f>
        <v>75330000</v>
      </c>
      <c r="F100" s="114">
        <f>SUM(F82:F99)</f>
        <v>51982100</v>
      </c>
      <c r="G100" s="114">
        <f>SUM(G82:G99)</f>
        <v>46982100</v>
      </c>
    </row>
    <row r="101" spans="1:7" s="20" customFormat="1">
      <c r="A101" s="32"/>
      <c r="B101" s="332"/>
      <c r="C101" s="332"/>
      <c r="D101" s="332"/>
      <c r="E101" s="297"/>
      <c r="F101" s="114"/>
      <c r="G101" s="297"/>
    </row>
    <row r="102" spans="1:7" s="20" customFormat="1">
      <c r="A102" s="32"/>
      <c r="B102" s="332"/>
      <c r="C102" s="332"/>
      <c r="D102" s="332"/>
      <c r="E102" s="297"/>
      <c r="F102" s="114"/>
      <c r="G102" s="297"/>
    </row>
    <row r="103" spans="1:7" s="20" customFormat="1" ht="30">
      <c r="A103" s="32">
        <v>215102001</v>
      </c>
      <c r="B103" s="332" t="s">
        <v>150</v>
      </c>
      <c r="C103" s="332">
        <v>12050490</v>
      </c>
      <c r="D103" s="332" t="s">
        <v>294</v>
      </c>
      <c r="E103" s="297">
        <v>20000</v>
      </c>
      <c r="F103" s="114">
        <v>5725000</v>
      </c>
      <c r="G103" s="297">
        <v>5725000</v>
      </c>
    </row>
    <row r="104" spans="1:7" s="20" customFormat="1" ht="30">
      <c r="A104" s="32">
        <v>215102001</v>
      </c>
      <c r="B104" s="332" t="s">
        <v>150</v>
      </c>
      <c r="C104" s="332">
        <v>12050491</v>
      </c>
      <c r="D104" s="332" t="s">
        <v>295</v>
      </c>
      <c r="E104" s="297">
        <v>7800000</v>
      </c>
      <c r="F104" s="114">
        <v>2775000</v>
      </c>
      <c r="G104" s="297">
        <v>2775000</v>
      </c>
    </row>
    <row r="105" spans="1:7" s="20" customFormat="1" ht="30">
      <c r="A105" s="32">
        <v>215102001</v>
      </c>
      <c r="B105" s="332" t="s">
        <v>150</v>
      </c>
      <c r="C105" s="332">
        <v>12050492</v>
      </c>
      <c r="D105" s="332" t="s">
        <v>296</v>
      </c>
      <c r="E105" s="297">
        <v>6850000</v>
      </c>
      <c r="F105" s="114">
        <v>11400000</v>
      </c>
      <c r="G105" s="297">
        <v>11400000</v>
      </c>
    </row>
    <row r="106" spans="1:7" s="20" customFormat="1" ht="30">
      <c r="A106" s="32">
        <v>215102001</v>
      </c>
      <c r="B106" s="332" t="s">
        <v>150</v>
      </c>
      <c r="C106" s="332">
        <v>12050494</v>
      </c>
      <c r="D106" s="332" t="s">
        <v>297</v>
      </c>
      <c r="E106" s="297">
        <v>900000</v>
      </c>
      <c r="F106" s="114">
        <v>2500000</v>
      </c>
      <c r="G106" s="297">
        <v>2500000</v>
      </c>
    </row>
    <row r="107" spans="1:7" s="20" customFormat="1" ht="30">
      <c r="A107" s="32">
        <v>215102001</v>
      </c>
      <c r="B107" s="332" t="s">
        <v>150</v>
      </c>
      <c r="C107" s="332">
        <v>12150014</v>
      </c>
      <c r="D107" s="332" t="s">
        <v>298</v>
      </c>
      <c r="E107" s="297">
        <v>8290000</v>
      </c>
      <c r="F107" s="114">
        <v>4800000</v>
      </c>
      <c r="G107" s="297">
        <v>4800000</v>
      </c>
    </row>
    <row r="108" spans="1:7" s="20" customFormat="1">
      <c r="A108" s="32"/>
      <c r="B108" s="332"/>
      <c r="C108" s="332">
        <v>12150014</v>
      </c>
      <c r="D108" s="332" t="s">
        <v>299</v>
      </c>
      <c r="E108" s="297">
        <v>100000</v>
      </c>
      <c r="F108" s="114">
        <v>100000</v>
      </c>
      <c r="G108" s="297">
        <v>100000</v>
      </c>
    </row>
    <row r="109" spans="1:7" s="66" customFormat="1">
      <c r="A109" s="30"/>
      <c r="B109" s="231"/>
      <c r="C109" s="231"/>
      <c r="D109" s="231" t="s">
        <v>242</v>
      </c>
      <c r="E109" s="114">
        <f>SUM(E103:E108)</f>
        <v>23960000</v>
      </c>
      <c r="F109" s="114">
        <f>SUM(F103:F108)</f>
        <v>27300000</v>
      </c>
      <c r="G109" s="114">
        <f>SUM(G103:G108)</f>
        <v>27300000</v>
      </c>
    </row>
    <row r="110" spans="1:7" s="20" customFormat="1">
      <c r="A110" s="32"/>
      <c r="B110" s="332"/>
      <c r="C110" s="332"/>
      <c r="D110" s="332"/>
      <c r="E110" s="297"/>
      <c r="F110" s="114"/>
      <c r="G110" s="297"/>
    </row>
    <row r="111" spans="1:7" s="20" customFormat="1">
      <c r="A111" s="32"/>
      <c r="B111" s="332"/>
      <c r="C111" s="332"/>
      <c r="D111" s="332"/>
      <c r="E111" s="297"/>
      <c r="F111" s="114"/>
      <c r="G111" s="297"/>
    </row>
    <row r="112" spans="1:7" s="20" customFormat="1" ht="30">
      <c r="A112" s="32">
        <v>215109001</v>
      </c>
      <c r="B112" s="332" t="s">
        <v>133</v>
      </c>
      <c r="C112" s="332">
        <v>12060032</v>
      </c>
      <c r="D112" s="332" t="s">
        <v>300</v>
      </c>
      <c r="E112" s="297">
        <v>2000000</v>
      </c>
      <c r="F112" s="114">
        <v>0</v>
      </c>
      <c r="G112" s="297">
        <v>0</v>
      </c>
    </row>
    <row r="113" spans="1:7" s="20" customFormat="1" ht="30">
      <c r="A113" s="32">
        <v>215109001</v>
      </c>
      <c r="B113" s="332" t="s">
        <v>133</v>
      </c>
      <c r="C113" s="332">
        <v>12060163</v>
      </c>
      <c r="D113" s="332" t="s">
        <v>1740</v>
      </c>
      <c r="E113" s="297">
        <v>1000000</v>
      </c>
      <c r="F113" s="114">
        <v>500000</v>
      </c>
      <c r="G113" s="297">
        <v>500000</v>
      </c>
    </row>
    <row r="114" spans="1:7" s="20" customFormat="1" ht="30">
      <c r="A114" s="32">
        <v>215109001</v>
      </c>
      <c r="B114" s="332" t="s">
        <v>133</v>
      </c>
      <c r="C114" s="332">
        <v>12060066</v>
      </c>
      <c r="D114" s="332" t="s">
        <v>1741</v>
      </c>
      <c r="E114" s="297">
        <v>3000000</v>
      </c>
      <c r="F114" s="114">
        <f>2000000+6000000-300000</f>
        <v>7700000</v>
      </c>
      <c r="G114" s="297">
        <f>2000000+6000000-300000</f>
        <v>7700000</v>
      </c>
    </row>
    <row r="115" spans="1:7" s="20" customFormat="1" ht="30">
      <c r="A115" s="32">
        <v>215109001</v>
      </c>
      <c r="B115" s="332" t="s">
        <v>133</v>
      </c>
      <c r="C115" s="332">
        <v>12080016</v>
      </c>
      <c r="D115" s="332" t="s">
        <v>301</v>
      </c>
      <c r="E115" s="297">
        <v>315000</v>
      </c>
      <c r="F115" s="114">
        <v>0</v>
      </c>
      <c r="G115" s="297">
        <v>0</v>
      </c>
    </row>
    <row r="116" spans="1:7" s="66" customFormat="1">
      <c r="A116" s="30"/>
      <c r="B116" s="231"/>
      <c r="C116" s="231"/>
      <c r="D116" s="231" t="s">
        <v>242</v>
      </c>
      <c r="E116" s="114">
        <f>SUM(E112:E115)</f>
        <v>6315000</v>
      </c>
      <c r="F116" s="114">
        <f>SUM(F112:F115)</f>
        <v>8200000</v>
      </c>
      <c r="G116" s="114">
        <f>SUM(G112:G115)</f>
        <v>8200000</v>
      </c>
    </row>
    <row r="117" spans="1:7" s="20" customFormat="1">
      <c r="A117" s="30"/>
      <c r="B117" s="231"/>
      <c r="C117" s="231"/>
      <c r="D117" s="231"/>
      <c r="E117" s="114"/>
      <c r="F117" s="114"/>
      <c r="G117" s="297"/>
    </row>
    <row r="118" spans="1:7" s="20" customFormat="1">
      <c r="A118" s="32"/>
      <c r="B118" s="332"/>
      <c r="C118" s="332"/>
      <c r="D118" s="332"/>
      <c r="E118" s="297"/>
      <c r="F118" s="114"/>
      <c r="G118" s="297"/>
    </row>
    <row r="119" spans="1:7" s="20" customFormat="1" ht="30">
      <c r="A119" s="32">
        <v>222001001</v>
      </c>
      <c r="B119" s="332" t="s">
        <v>201</v>
      </c>
      <c r="C119" s="332">
        <v>22001001</v>
      </c>
      <c r="D119" s="332" t="s">
        <v>302</v>
      </c>
      <c r="E119" s="297">
        <v>38000000</v>
      </c>
      <c r="F119" s="114">
        <v>20000000</v>
      </c>
      <c r="G119" s="297">
        <v>20000001</v>
      </c>
    </row>
    <row r="120" spans="1:7" s="20" customFormat="1" ht="30">
      <c r="A120" s="32">
        <v>222001001</v>
      </c>
      <c r="B120" s="332" t="s">
        <v>201</v>
      </c>
      <c r="C120" s="332">
        <v>22001001</v>
      </c>
      <c r="D120" s="332" t="s">
        <v>303</v>
      </c>
      <c r="E120" s="297">
        <v>50000</v>
      </c>
      <c r="F120" s="114" t="s">
        <v>304</v>
      </c>
      <c r="G120" s="297" t="s">
        <v>304</v>
      </c>
    </row>
    <row r="121" spans="1:7" s="20" customFormat="1" ht="30">
      <c r="A121" s="32">
        <v>222001001</v>
      </c>
      <c r="B121" s="332" t="s">
        <v>201</v>
      </c>
      <c r="C121" s="332">
        <v>22001001</v>
      </c>
      <c r="D121" s="332" t="s">
        <v>305</v>
      </c>
      <c r="E121" s="297">
        <v>447000</v>
      </c>
      <c r="F121" s="114" t="s">
        <v>304</v>
      </c>
      <c r="G121" s="297" t="s">
        <v>304</v>
      </c>
    </row>
    <row r="122" spans="1:7" s="20" customFormat="1" ht="45">
      <c r="A122" s="32">
        <v>222001001</v>
      </c>
      <c r="B122" s="332" t="s">
        <v>201</v>
      </c>
      <c r="C122" s="332">
        <v>22001001</v>
      </c>
      <c r="D122" s="332" t="s">
        <v>1742</v>
      </c>
      <c r="E122" s="297">
        <v>18250000</v>
      </c>
      <c r="F122" s="114">
        <v>12000000</v>
      </c>
      <c r="G122" s="297">
        <v>12000000</v>
      </c>
    </row>
    <row r="123" spans="1:7" s="20" customFormat="1" ht="30">
      <c r="A123" s="32">
        <v>222001001</v>
      </c>
      <c r="B123" s="332" t="s">
        <v>201</v>
      </c>
      <c r="C123" s="332">
        <v>12040463</v>
      </c>
      <c r="D123" s="332" t="s">
        <v>306</v>
      </c>
      <c r="E123" s="297">
        <v>12000000</v>
      </c>
      <c r="F123" s="114">
        <v>5000000</v>
      </c>
      <c r="G123" s="297">
        <v>5000000</v>
      </c>
    </row>
    <row r="124" spans="1:7" s="20" customFormat="1" ht="30">
      <c r="A124" s="32">
        <v>222001001</v>
      </c>
      <c r="B124" s="332" t="s">
        <v>201</v>
      </c>
      <c r="C124" s="332"/>
      <c r="D124" s="332" t="s">
        <v>307</v>
      </c>
      <c r="E124" s="297">
        <v>21000000</v>
      </c>
      <c r="F124" s="114">
        <f>21000000+60000000</f>
        <v>81000000</v>
      </c>
      <c r="G124" s="297">
        <f>21000000+60000000</f>
        <v>81000000</v>
      </c>
    </row>
    <row r="125" spans="1:7" s="20" customFormat="1" ht="30">
      <c r="A125" s="32">
        <v>222001001</v>
      </c>
      <c r="B125" s="332" t="s">
        <v>201</v>
      </c>
      <c r="C125" s="332">
        <v>12080011</v>
      </c>
      <c r="D125" s="332" t="s">
        <v>308</v>
      </c>
      <c r="E125" s="297">
        <v>15236250</v>
      </c>
      <c r="F125" s="114">
        <v>0</v>
      </c>
      <c r="G125" s="297">
        <v>0</v>
      </c>
    </row>
    <row r="126" spans="1:7" s="20" customFormat="1" ht="30">
      <c r="A126" s="32">
        <v>222001001</v>
      </c>
      <c r="B126" s="332" t="s">
        <v>201</v>
      </c>
      <c r="C126" s="332">
        <v>1240245</v>
      </c>
      <c r="D126" s="332" t="s">
        <v>309</v>
      </c>
      <c r="E126" s="297">
        <v>200000</v>
      </c>
      <c r="F126" s="114" t="s">
        <v>304</v>
      </c>
      <c r="G126" s="297" t="s">
        <v>304</v>
      </c>
    </row>
    <row r="127" spans="1:7" s="66" customFormat="1">
      <c r="A127" s="30"/>
      <c r="B127" s="231"/>
      <c r="C127" s="231"/>
      <c r="D127" s="231" t="s">
        <v>242</v>
      </c>
      <c r="E127" s="114">
        <f>SUM(E119:E126)</f>
        <v>105183250</v>
      </c>
      <c r="F127" s="114">
        <f>SUM(F119:F126)</f>
        <v>118000000</v>
      </c>
      <c r="G127" s="114">
        <f>SUM(G119:G126)</f>
        <v>118000001</v>
      </c>
    </row>
    <row r="128" spans="1:7" s="20" customFormat="1">
      <c r="A128" s="32"/>
      <c r="B128" s="332"/>
      <c r="C128" s="332"/>
      <c r="D128" s="332"/>
      <c r="E128" s="297"/>
      <c r="F128" s="114"/>
      <c r="G128" s="297"/>
    </row>
    <row r="129" spans="1:7" s="20" customFormat="1">
      <c r="A129" s="32"/>
      <c r="B129" s="332"/>
      <c r="C129" s="332"/>
      <c r="D129" s="332"/>
      <c r="E129" s="297"/>
      <c r="F129" s="114"/>
      <c r="G129" s="297"/>
    </row>
    <row r="130" spans="1:7" s="20" customFormat="1" ht="30">
      <c r="A130" s="32">
        <v>517001001</v>
      </c>
      <c r="B130" s="332" t="s">
        <v>131</v>
      </c>
      <c r="C130" s="332">
        <v>12020452</v>
      </c>
      <c r="D130" s="332" t="s">
        <v>310</v>
      </c>
      <c r="E130" s="297">
        <v>100387500</v>
      </c>
      <c r="F130" s="114">
        <v>100387500</v>
      </c>
      <c r="G130" s="297">
        <v>100387500</v>
      </c>
    </row>
    <row r="131" spans="1:7" s="20" customFormat="1" ht="30">
      <c r="A131" s="32">
        <v>517001001</v>
      </c>
      <c r="B131" s="332" t="s">
        <v>131</v>
      </c>
      <c r="C131" s="332">
        <v>12020463</v>
      </c>
      <c r="D131" s="332" t="s">
        <v>311</v>
      </c>
      <c r="E131" s="297">
        <v>152901000</v>
      </c>
      <c r="F131" s="114">
        <v>168845100</v>
      </c>
      <c r="G131" s="297">
        <v>168845100</v>
      </c>
    </row>
    <row r="132" spans="1:7" s="20" customFormat="1" ht="30">
      <c r="A132" s="32">
        <v>517001001</v>
      </c>
      <c r="B132" s="332" t="s">
        <v>131</v>
      </c>
      <c r="C132" s="332">
        <v>12020498</v>
      </c>
      <c r="D132" s="332" t="s">
        <v>312</v>
      </c>
      <c r="E132" s="297">
        <v>33540900</v>
      </c>
      <c r="F132" s="114">
        <v>11180300</v>
      </c>
      <c r="G132" s="297">
        <v>11180300</v>
      </c>
    </row>
    <row r="133" spans="1:7" s="20" customFormat="1" ht="30">
      <c r="A133" s="32">
        <v>517001001</v>
      </c>
      <c r="B133" s="332" t="s">
        <v>131</v>
      </c>
      <c r="C133" s="332">
        <v>12021402</v>
      </c>
      <c r="D133" s="332" t="s">
        <v>313</v>
      </c>
      <c r="E133" s="297">
        <v>33540900</v>
      </c>
      <c r="F133" s="114">
        <v>52412963.079999998</v>
      </c>
      <c r="G133" s="297">
        <v>52412963.079999998</v>
      </c>
    </row>
    <row r="134" spans="1:7" s="20" customFormat="1" ht="30">
      <c r="A134" s="32">
        <v>517001001</v>
      </c>
      <c r="B134" s="332" t="s">
        <v>131</v>
      </c>
      <c r="C134" s="332">
        <v>12020481</v>
      </c>
      <c r="D134" s="332" t="s">
        <v>314</v>
      </c>
      <c r="E134" s="297">
        <v>33540900</v>
      </c>
      <c r="F134" s="114">
        <v>52412963.079999998</v>
      </c>
      <c r="G134" s="297">
        <v>52412963.079999998</v>
      </c>
    </row>
    <row r="135" spans="1:7" s="20" customFormat="1" ht="30">
      <c r="A135" s="32">
        <v>517001001</v>
      </c>
      <c r="B135" s="332" t="s">
        <v>131</v>
      </c>
      <c r="C135" s="332">
        <v>12020476</v>
      </c>
      <c r="D135" s="332" t="s">
        <v>315</v>
      </c>
      <c r="E135" s="297">
        <v>16770450</v>
      </c>
      <c r="F135" s="114">
        <v>5590150</v>
      </c>
      <c r="G135" s="297">
        <v>5590150</v>
      </c>
    </row>
    <row r="136" spans="1:7" s="20" customFormat="1" ht="30">
      <c r="A136" s="32">
        <v>517001001</v>
      </c>
      <c r="B136" s="332" t="s">
        <v>131</v>
      </c>
      <c r="C136" s="332">
        <v>12002603</v>
      </c>
      <c r="D136" s="332" t="s">
        <v>316</v>
      </c>
      <c r="E136" s="297">
        <v>33540900</v>
      </c>
      <c r="F136" s="114">
        <v>11180300</v>
      </c>
      <c r="G136" s="297">
        <v>11180300</v>
      </c>
    </row>
    <row r="137" spans="1:7" s="20" customFormat="1" ht="30">
      <c r="A137" s="32">
        <v>517001001</v>
      </c>
      <c r="B137" s="332" t="s">
        <v>131</v>
      </c>
      <c r="C137" s="332">
        <v>12002603</v>
      </c>
      <c r="D137" s="332" t="s">
        <v>317</v>
      </c>
      <c r="E137" s="297">
        <v>33540900</v>
      </c>
      <c r="F137" s="114">
        <v>11180300</v>
      </c>
      <c r="G137" s="297">
        <v>11180300</v>
      </c>
    </row>
    <row r="138" spans="1:7" s="20" customFormat="1" ht="30">
      <c r="A138" s="32">
        <v>517001001</v>
      </c>
      <c r="B138" s="332" t="s">
        <v>131</v>
      </c>
      <c r="C138" s="332">
        <v>12021369</v>
      </c>
      <c r="D138" s="332" t="s">
        <v>318</v>
      </c>
      <c r="E138" s="297">
        <v>50311350</v>
      </c>
      <c r="F138" s="114">
        <v>78619444.599999994</v>
      </c>
      <c r="G138" s="297">
        <v>78619444.599999994</v>
      </c>
    </row>
    <row r="139" spans="1:7" s="20" customFormat="1" ht="30">
      <c r="A139" s="32">
        <v>517001001</v>
      </c>
      <c r="B139" s="332" t="s">
        <v>131</v>
      </c>
      <c r="C139" s="332">
        <v>12040569</v>
      </c>
      <c r="D139" s="332" t="s">
        <v>319</v>
      </c>
      <c r="E139" s="297">
        <v>33540900</v>
      </c>
      <c r="F139" s="114">
        <v>52412963.079999998</v>
      </c>
      <c r="G139" s="297">
        <v>52412963.079999998</v>
      </c>
    </row>
    <row r="140" spans="1:7" s="20" customFormat="1" ht="30">
      <c r="A140" s="32">
        <v>517001001</v>
      </c>
      <c r="B140" s="332" t="s">
        <v>131</v>
      </c>
      <c r="C140" s="332">
        <v>12150009</v>
      </c>
      <c r="D140" s="332" t="s">
        <v>320</v>
      </c>
      <c r="E140" s="297">
        <v>33540900</v>
      </c>
      <c r="F140" s="114">
        <v>11180300</v>
      </c>
      <c r="G140" s="297">
        <v>11180300</v>
      </c>
    </row>
    <row r="141" spans="1:7" s="20" customFormat="1" ht="30">
      <c r="A141" s="32">
        <v>517001001</v>
      </c>
      <c r="B141" s="332" t="s">
        <v>131</v>
      </c>
      <c r="C141" s="332">
        <v>12150010</v>
      </c>
      <c r="D141" s="332" t="s">
        <v>514</v>
      </c>
      <c r="E141" s="297">
        <v>33540900</v>
      </c>
      <c r="F141" s="114">
        <v>11180300</v>
      </c>
      <c r="G141" s="297">
        <v>11180300</v>
      </c>
    </row>
    <row r="142" spans="1:7" s="20" customFormat="1" ht="30">
      <c r="A142" s="32">
        <v>517001001</v>
      </c>
      <c r="B142" s="332" t="s">
        <v>131</v>
      </c>
      <c r="C142" s="332">
        <v>12040632</v>
      </c>
      <c r="D142" s="332" t="s">
        <v>428</v>
      </c>
      <c r="E142" s="297">
        <v>33540900</v>
      </c>
      <c r="F142" s="114">
        <v>52412963.079999998</v>
      </c>
      <c r="G142" s="297">
        <v>52412963.079999998</v>
      </c>
    </row>
    <row r="143" spans="1:7" s="20" customFormat="1" ht="30">
      <c r="A143" s="32">
        <v>517001001</v>
      </c>
      <c r="B143" s="332" t="s">
        <v>131</v>
      </c>
      <c r="C143" s="332">
        <v>12040633</v>
      </c>
      <c r="D143" s="332" t="s">
        <v>431</v>
      </c>
      <c r="E143" s="297">
        <v>16770450</v>
      </c>
      <c r="F143" s="114">
        <v>26206481.539999999</v>
      </c>
      <c r="G143" s="297">
        <v>26206481.539999999</v>
      </c>
    </row>
    <row r="144" spans="1:7" s="20" customFormat="1" ht="30">
      <c r="A144" s="32">
        <v>517001001</v>
      </c>
      <c r="B144" s="332" t="s">
        <v>131</v>
      </c>
      <c r="C144" s="332">
        <v>12027497</v>
      </c>
      <c r="D144" s="332" t="s">
        <v>322</v>
      </c>
      <c r="E144" s="297">
        <v>16770450</v>
      </c>
      <c r="F144" s="114">
        <v>26206481.539999999</v>
      </c>
      <c r="G144" s="297">
        <v>26206481.539999999</v>
      </c>
    </row>
    <row r="145" spans="1:7" s="66" customFormat="1">
      <c r="A145" s="30"/>
      <c r="B145" s="231"/>
      <c r="C145" s="231"/>
      <c r="D145" s="231" t="s">
        <v>242</v>
      </c>
      <c r="E145" s="114">
        <f>SUM(E130:E144)</f>
        <v>655779300</v>
      </c>
      <c r="F145" s="114">
        <f>SUM(F130:F144)</f>
        <v>671408510</v>
      </c>
      <c r="G145" s="114">
        <f>SUM(G130:G144)</f>
        <v>671408510</v>
      </c>
    </row>
    <row r="146" spans="1:7" s="20" customFormat="1">
      <c r="A146" s="32"/>
      <c r="B146" s="332"/>
      <c r="C146" s="332"/>
      <c r="D146" s="332"/>
      <c r="E146" s="297"/>
      <c r="F146" s="114"/>
      <c r="G146" s="297"/>
    </row>
    <row r="147" spans="1:7" s="20" customFormat="1" ht="30">
      <c r="A147" s="32">
        <v>517021002</v>
      </c>
      <c r="B147" s="332" t="s">
        <v>130</v>
      </c>
      <c r="C147" s="332">
        <v>12040477</v>
      </c>
      <c r="D147" s="332" t="s">
        <v>1768</v>
      </c>
      <c r="E147" s="297">
        <v>0</v>
      </c>
      <c r="F147" s="114">
        <v>36000000</v>
      </c>
      <c r="G147" s="297">
        <v>36000000</v>
      </c>
    </row>
    <row r="148" spans="1:7" s="20" customFormat="1">
      <c r="A148" s="32">
        <v>517021002</v>
      </c>
      <c r="B148" s="332" t="s">
        <v>130</v>
      </c>
      <c r="C148" s="332">
        <v>12040279</v>
      </c>
      <c r="D148" s="332" t="s">
        <v>323</v>
      </c>
      <c r="E148" s="297">
        <v>3750000</v>
      </c>
      <c r="F148" s="114">
        <v>4312500</v>
      </c>
      <c r="G148" s="297">
        <v>4312500</v>
      </c>
    </row>
    <row r="149" spans="1:7" s="20" customFormat="1" ht="30">
      <c r="A149" s="32">
        <v>517021002</v>
      </c>
      <c r="B149" s="332" t="s">
        <v>130</v>
      </c>
      <c r="C149" s="332">
        <v>12040169</v>
      </c>
      <c r="D149" s="332" t="s">
        <v>324</v>
      </c>
      <c r="E149" s="297">
        <v>2500000</v>
      </c>
      <c r="F149" s="114">
        <v>2875000</v>
      </c>
      <c r="G149" s="297">
        <v>2875000</v>
      </c>
    </row>
    <row r="150" spans="1:7" s="20" customFormat="1" ht="30">
      <c r="A150" s="32">
        <v>517021002</v>
      </c>
      <c r="B150" s="332" t="s">
        <v>130</v>
      </c>
      <c r="C150" s="332">
        <v>12040377</v>
      </c>
      <c r="D150" s="332" t="s">
        <v>325</v>
      </c>
      <c r="E150" s="297">
        <v>5950000</v>
      </c>
      <c r="F150" s="114">
        <v>10250000</v>
      </c>
      <c r="G150" s="297">
        <v>10250000</v>
      </c>
    </row>
    <row r="151" spans="1:7" s="20" customFormat="1">
      <c r="A151" s="32">
        <v>517021002</v>
      </c>
      <c r="B151" s="332" t="s">
        <v>130</v>
      </c>
      <c r="C151" s="332">
        <v>12040232</v>
      </c>
      <c r="D151" s="332" t="s">
        <v>326</v>
      </c>
      <c r="E151" s="297">
        <v>550000</v>
      </c>
      <c r="F151" s="114">
        <v>632000</v>
      </c>
      <c r="G151" s="297">
        <v>632000</v>
      </c>
    </row>
    <row r="152" spans="1:7" s="20" customFormat="1">
      <c r="A152" s="32">
        <v>517021002</v>
      </c>
      <c r="B152" s="332" t="s">
        <v>130</v>
      </c>
      <c r="C152" s="332">
        <v>12040017</v>
      </c>
      <c r="D152" s="332" t="s">
        <v>327</v>
      </c>
      <c r="E152" s="297">
        <v>1300000</v>
      </c>
      <c r="F152" s="114">
        <v>1490000</v>
      </c>
      <c r="G152" s="297">
        <v>1490000</v>
      </c>
    </row>
    <row r="153" spans="1:7" s="20" customFormat="1">
      <c r="A153" s="32">
        <v>517021002</v>
      </c>
      <c r="B153" s="332" t="s">
        <v>130</v>
      </c>
      <c r="C153" s="332">
        <v>12040625</v>
      </c>
      <c r="D153" s="332" t="s">
        <v>328</v>
      </c>
      <c r="E153" s="297">
        <v>17666000</v>
      </c>
      <c r="F153" s="114">
        <v>19700600</v>
      </c>
      <c r="G153" s="297">
        <v>19700600</v>
      </c>
    </row>
    <row r="154" spans="1:7" s="20" customFormat="1">
      <c r="A154" s="32">
        <v>517021002</v>
      </c>
      <c r="B154" s="332" t="s">
        <v>130</v>
      </c>
      <c r="C154" s="332">
        <v>12040316</v>
      </c>
      <c r="D154" s="332" t="s">
        <v>310</v>
      </c>
      <c r="E154" s="297">
        <v>14824950</v>
      </c>
      <c r="F154" s="114">
        <v>17400600</v>
      </c>
      <c r="G154" s="297">
        <v>17400600</v>
      </c>
    </row>
    <row r="155" spans="1:7" s="20" customFormat="1">
      <c r="A155" s="32">
        <v>517021002</v>
      </c>
      <c r="B155" s="332" t="s">
        <v>130</v>
      </c>
      <c r="C155" s="332">
        <v>12040570</v>
      </c>
      <c r="D155" s="332" t="s">
        <v>312</v>
      </c>
      <c r="E155" s="297">
        <v>17666000</v>
      </c>
      <c r="F155" s="114">
        <v>19300500</v>
      </c>
      <c r="G155" s="297">
        <v>19300500</v>
      </c>
    </row>
    <row r="156" spans="1:7" s="20" customFormat="1">
      <c r="A156" s="32">
        <v>517021002</v>
      </c>
      <c r="B156" s="332" t="s">
        <v>130</v>
      </c>
      <c r="C156" s="332">
        <v>12040619</v>
      </c>
      <c r="D156" s="332" t="s">
        <v>2137</v>
      </c>
      <c r="E156" s="297">
        <v>1540000</v>
      </c>
      <c r="F156" s="114">
        <v>2150000</v>
      </c>
      <c r="G156" s="297">
        <v>2150000</v>
      </c>
    </row>
    <row r="157" spans="1:7" s="20" customFormat="1">
      <c r="A157" s="32">
        <v>517021002</v>
      </c>
      <c r="B157" s="332" t="s">
        <v>130</v>
      </c>
      <c r="C157" s="332">
        <v>12040569</v>
      </c>
      <c r="D157" s="332" t="s">
        <v>319</v>
      </c>
      <c r="E157" s="297">
        <v>14849500</v>
      </c>
      <c r="F157" s="114">
        <v>16700000</v>
      </c>
      <c r="G157" s="297">
        <v>16700000</v>
      </c>
    </row>
    <row r="158" spans="1:7" s="20" customFormat="1">
      <c r="A158" s="32">
        <v>517021002</v>
      </c>
      <c r="B158" s="332" t="s">
        <v>130</v>
      </c>
      <c r="C158" s="332">
        <v>12040040</v>
      </c>
      <c r="D158" s="332" t="s">
        <v>329</v>
      </c>
      <c r="E158" s="297">
        <v>16666000</v>
      </c>
      <c r="F158" s="114">
        <v>18700000</v>
      </c>
      <c r="G158" s="297">
        <v>18700000</v>
      </c>
    </row>
    <row r="159" spans="1:7" s="20" customFormat="1">
      <c r="A159" s="32">
        <v>517021002</v>
      </c>
      <c r="B159" s="332" t="s">
        <v>130</v>
      </c>
      <c r="C159" s="332">
        <v>12040540</v>
      </c>
      <c r="D159" s="332" t="s">
        <v>330</v>
      </c>
      <c r="E159" s="297">
        <v>4500000</v>
      </c>
      <c r="F159" s="114">
        <v>5200000</v>
      </c>
      <c r="G159" s="297">
        <v>5200000</v>
      </c>
    </row>
    <row r="160" spans="1:7" s="20" customFormat="1">
      <c r="A160" s="32">
        <v>517021002</v>
      </c>
      <c r="B160" s="332" t="s">
        <v>130</v>
      </c>
      <c r="C160" s="332">
        <v>12040623</v>
      </c>
      <c r="D160" s="332" t="s">
        <v>331</v>
      </c>
      <c r="E160" s="297">
        <v>32450500</v>
      </c>
      <c r="F160" s="114">
        <v>37000000</v>
      </c>
      <c r="G160" s="297">
        <v>37000000</v>
      </c>
    </row>
    <row r="161" spans="1:7" s="20" customFormat="1">
      <c r="A161" s="32">
        <v>517021002</v>
      </c>
      <c r="B161" s="332" t="s">
        <v>130</v>
      </c>
      <c r="C161" s="332">
        <v>12040624</v>
      </c>
      <c r="D161" s="332" t="s">
        <v>1769</v>
      </c>
      <c r="E161" s="297">
        <v>500000</v>
      </c>
      <c r="F161" s="114">
        <v>1500000</v>
      </c>
      <c r="G161" s="297">
        <v>1500000</v>
      </c>
    </row>
    <row r="162" spans="1:7" s="20" customFormat="1">
      <c r="A162" s="32">
        <v>517021002</v>
      </c>
      <c r="B162" s="332" t="s">
        <v>130</v>
      </c>
      <c r="C162" s="332">
        <v>12040041</v>
      </c>
      <c r="D162" s="332" t="s">
        <v>332</v>
      </c>
      <c r="E162" s="297">
        <v>7700000</v>
      </c>
      <c r="F162" s="114">
        <v>8850000</v>
      </c>
      <c r="G162" s="297">
        <v>8850000</v>
      </c>
    </row>
    <row r="163" spans="1:7" s="20" customFormat="1">
      <c r="A163" s="32">
        <v>517021002</v>
      </c>
      <c r="B163" s="332" t="s">
        <v>130</v>
      </c>
      <c r="C163" s="332">
        <v>12040636</v>
      </c>
      <c r="D163" s="332" t="s">
        <v>1770</v>
      </c>
      <c r="E163" s="297">
        <v>6300000</v>
      </c>
      <c r="F163" s="114">
        <v>7200000</v>
      </c>
      <c r="G163" s="297">
        <v>7200000</v>
      </c>
    </row>
    <row r="164" spans="1:7" s="20" customFormat="1">
      <c r="A164" s="32">
        <v>517021002</v>
      </c>
      <c r="B164" s="332" t="s">
        <v>130</v>
      </c>
      <c r="C164" s="332">
        <v>12040586</v>
      </c>
      <c r="D164" s="332" t="s">
        <v>333</v>
      </c>
      <c r="E164" s="297">
        <v>2900000</v>
      </c>
      <c r="F164" s="114">
        <v>33000</v>
      </c>
      <c r="G164" s="297">
        <v>33000</v>
      </c>
    </row>
    <row r="165" spans="1:7" s="20" customFormat="1" ht="30">
      <c r="A165" s="32">
        <v>517021002</v>
      </c>
      <c r="B165" s="332" t="s">
        <v>130</v>
      </c>
      <c r="C165" s="332">
        <v>12040622</v>
      </c>
      <c r="D165" s="332" t="s">
        <v>334</v>
      </c>
      <c r="E165" s="297">
        <v>20625000</v>
      </c>
      <c r="F165" s="114">
        <v>22700000</v>
      </c>
      <c r="G165" s="297">
        <v>22700000</v>
      </c>
    </row>
    <row r="166" spans="1:7" s="20" customFormat="1">
      <c r="A166" s="32">
        <v>517021002</v>
      </c>
      <c r="B166" s="332" t="s">
        <v>130</v>
      </c>
      <c r="C166" s="332">
        <v>12040514</v>
      </c>
      <c r="D166" s="332" t="s">
        <v>335</v>
      </c>
      <c r="E166" s="297">
        <v>4750000</v>
      </c>
      <c r="F166" s="114">
        <v>6400000</v>
      </c>
      <c r="G166" s="297">
        <v>6400000</v>
      </c>
    </row>
    <row r="167" spans="1:7" s="20" customFormat="1">
      <c r="A167" s="32">
        <v>517021002</v>
      </c>
      <c r="B167" s="332" t="s">
        <v>130</v>
      </c>
      <c r="C167" s="332">
        <v>12040052</v>
      </c>
      <c r="D167" s="332" t="s">
        <v>336</v>
      </c>
      <c r="E167" s="297">
        <v>90750000</v>
      </c>
      <c r="F167" s="114">
        <v>103005000</v>
      </c>
      <c r="G167" s="297">
        <v>103005000</v>
      </c>
    </row>
    <row r="168" spans="1:7" s="20" customFormat="1">
      <c r="A168" s="32">
        <v>517021002</v>
      </c>
      <c r="B168" s="332" t="s">
        <v>130</v>
      </c>
      <c r="C168" s="332">
        <v>12040426</v>
      </c>
      <c r="D168" s="332" t="s">
        <v>337</v>
      </c>
      <c r="E168" s="297">
        <v>4380000</v>
      </c>
      <c r="F168" s="114">
        <v>4300000</v>
      </c>
      <c r="G168" s="297">
        <v>4300000</v>
      </c>
    </row>
    <row r="169" spans="1:7" s="20" customFormat="1">
      <c r="A169" s="32">
        <v>517021002</v>
      </c>
      <c r="B169" s="332" t="s">
        <v>130</v>
      </c>
      <c r="C169" s="332">
        <v>12040274</v>
      </c>
      <c r="D169" s="332" t="s">
        <v>338</v>
      </c>
      <c r="E169" s="297">
        <v>251262800</v>
      </c>
      <c r="F169" s="114">
        <v>348405200</v>
      </c>
      <c r="G169" s="297">
        <v>348405200</v>
      </c>
    </row>
    <row r="170" spans="1:7" s="20" customFormat="1">
      <c r="A170" s="32">
        <v>517021002</v>
      </c>
      <c r="B170" s="332" t="s">
        <v>130</v>
      </c>
      <c r="C170" s="332">
        <v>12080013</v>
      </c>
      <c r="D170" s="332" t="s">
        <v>526</v>
      </c>
      <c r="E170" s="297">
        <v>12200000</v>
      </c>
      <c r="F170" s="114">
        <v>10200000</v>
      </c>
      <c r="G170" s="297">
        <v>10200000</v>
      </c>
    </row>
    <row r="171" spans="1:7" s="20" customFormat="1" ht="30">
      <c r="A171" s="32">
        <v>517021002</v>
      </c>
      <c r="B171" s="332" t="s">
        <v>130</v>
      </c>
      <c r="C171" s="332">
        <v>12080004</v>
      </c>
      <c r="D171" s="332" t="s">
        <v>339</v>
      </c>
      <c r="E171" s="297">
        <v>900000</v>
      </c>
      <c r="F171" s="114">
        <v>1200000</v>
      </c>
      <c r="G171" s="297">
        <v>1200000</v>
      </c>
    </row>
    <row r="172" spans="1:7" s="20" customFormat="1">
      <c r="A172" s="32">
        <v>517021002</v>
      </c>
      <c r="B172" s="332" t="s">
        <v>130</v>
      </c>
      <c r="C172" s="332">
        <v>12070130</v>
      </c>
      <c r="D172" s="332" t="s">
        <v>340</v>
      </c>
      <c r="E172" s="297">
        <v>750000</v>
      </c>
      <c r="F172" s="114">
        <v>2500000</v>
      </c>
      <c r="G172" s="297">
        <v>2500000</v>
      </c>
    </row>
    <row r="173" spans="1:7" s="20" customFormat="1" ht="30">
      <c r="A173" s="32">
        <v>517021002</v>
      </c>
      <c r="B173" s="332" t="s">
        <v>130</v>
      </c>
      <c r="C173" s="332">
        <v>12080019</v>
      </c>
      <c r="D173" s="332" t="s">
        <v>341</v>
      </c>
      <c r="E173" s="297">
        <v>3750000</v>
      </c>
      <c r="F173" s="114">
        <v>3850000</v>
      </c>
      <c r="G173" s="297">
        <v>3850000</v>
      </c>
    </row>
    <row r="174" spans="1:7" s="20" customFormat="1" ht="30">
      <c r="A174" s="32">
        <v>517021002</v>
      </c>
      <c r="B174" s="332" t="s">
        <v>130</v>
      </c>
      <c r="C174" s="332">
        <v>12060021</v>
      </c>
      <c r="D174" s="332" t="s">
        <v>342</v>
      </c>
      <c r="E174" s="297">
        <v>1300000</v>
      </c>
      <c r="F174" s="114">
        <v>500000</v>
      </c>
      <c r="G174" s="297">
        <v>500000</v>
      </c>
    </row>
    <row r="175" spans="1:7" s="20" customFormat="1" ht="30">
      <c r="A175" s="32">
        <v>517021002</v>
      </c>
      <c r="B175" s="332" t="s">
        <v>130</v>
      </c>
      <c r="C175" s="332">
        <v>12060053</v>
      </c>
      <c r="D175" s="332" t="s">
        <v>343</v>
      </c>
      <c r="E175" s="297">
        <v>150000</v>
      </c>
      <c r="F175" s="114">
        <v>50000</v>
      </c>
      <c r="G175" s="297">
        <v>50000</v>
      </c>
    </row>
    <row r="176" spans="1:7" s="20" customFormat="1">
      <c r="A176" s="32">
        <v>517021002</v>
      </c>
      <c r="B176" s="332" t="s">
        <v>130</v>
      </c>
      <c r="C176" s="332">
        <v>12080013</v>
      </c>
      <c r="D176" s="332" t="s">
        <v>344</v>
      </c>
      <c r="E176" s="297">
        <v>750000</v>
      </c>
      <c r="F176" s="114">
        <v>700000</v>
      </c>
      <c r="G176" s="297">
        <v>700000</v>
      </c>
    </row>
    <row r="177" spans="1:7" s="66" customFormat="1">
      <c r="A177" s="30"/>
      <c r="B177" s="231"/>
      <c r="C177" s="231"/>
      <c r="D177" s="231" t="s">
        <v>242</v>
      </c>
      <c r="E177" s="114">
        <v>543180750</v>
      </c>
      <c r="F177" s="114">
        <v>713104400</v>
      </c>
      <c r="G177" s="114">
        <v>713104400</v>
      </c>
    </row>
    <row r="178" spans="1:7" s="20" customFormat="1">
      <c r="A178" s="32"/>
      <c r="B178" s="332"/>
      <c r="C178" s="332"/>
      <c r="D178" s="332"/>
      <c r="E178" s="314"/>
      <c r="F178" s="114"/>
      <c r="G178" s="297"/>
    </row>
    <row r="179" spans="1:7" s="20" customFormat="1">
      <c r="A179" s="32"/>
      <c r="B179" s="332"/>
      <c r="C179" s="332"/>
      <c r="D179" s="332"/>
      <c r="E179" s="297"/>
      <c r="F179" s="114"/>
      <c r="G179" s="297"/>
    </row>
    <row r="180" spans="1:7" s="20" customFormat="1">
      <c r="A180" s="32">
        <v>17018001</v>
      </c>
      <c r="B180" s="332" t="s">
        <v>202</v>
      </c>
      <c r="C180" s="332">
        <v>12040017</v>
      </c>
      <c r="D180" s="332" t="s">
        <v>345</v>
      </c>
      <c r="E180" s="297">
        <v>1000000</v>
      </c>
      <c r="F180" s="114">
        <v>1050000</v>
      </c>
      <c r="G180" s="297">
        <v>1050000</v>
      </c>
    </row>
    <row r="181" spans="1:7" s="20" customFormat="1">
      <c r="A181" s="32">
        <v>17018001</v>
      </c>
      <c r="B181" s="332" t="s">
        <v>202</v>
      </c>
      <c r="C181" s="332">
        <v>12040316</v>
      </c>
      <c r="D181" s="332" t="s">
        <v>310</v>
      </c>
      <c r="E181" s="297">
        <v>45000000</v>
      </c>
      <c r="F181" s="114">
        <v>47250000</v>
      </c>
      <c r="G181" s="297">
        <v>47250000</v>
      </c>
    </row>
    <row r="182" spans="1:7" s="20" customFormat="1">
      <c r="A182" s="32">
        <v>17018001</v>
      </c>
      <c r="B182" s="332" t="s">
        <v>202</v>
      </c>
      <c r="C182" s="332">
        <v>12040570</v>
      </c>
      <c r="D182" s="332" t="s">
        <v>312</v>
      </c>
      <c r="E182" s="297">
        <v>22500000</v>
      </c>
      <c r="F182" s="114">
        <v>23625000</v>
      </c>
      <c r="G182" s="297">
        <v>23625000</v>
      </c>
    </row>
    <row r="183" spans="1:7" s="20" customFormat="1">
      <c r="A183" s="32">
        <v>17018001</v>
      </c>
      <c r="B183" s="332" t="s">
        <v>202</v>
      </c>
      <c r="C183" s="332">
        <v>12040569</v>
      </c>
      <c r="D183" s="332" t="s">
        <v>319</v>
      </c>
      <c r="E183" s="297">
        <v>15000000</v>
      </c>
      <c r="F183" s="114">
        <v>15750000</v>
      </c>
      <c r="G183" s="297">
        <v>15750000</v>
      </c>
    </row>
    <row r="184" spans="1:7" s="20" customFormat="1" ht="30">
      <c r="A184" s="32">
        <v>17018001</v>
      </c>
      <c r="B184" s="332" t="s">
        <v>202</v>
      </c>
      <c r="C184" s="332">
        <v>12040619</v>
      </c>
      <c r="D184" s="332" t="s">
        <v>346</v>
      </c>
      <c r="E184" s="297">
        <v>8000000</v>
      </c>
      <c r="F184" s="114">
        <v>8400000</v>
      </c>
      <c r="G184" s="297">
        <v>8400000</v>
      </c>
    </row>
    <row r="185" spans="1:7" s="20" customFormat="1">
      <c r="A185" s="32">
        <v>17018001</v>
      </c>
      <c r="B185" s="332" t="s">
        <v>202</v>
      </c>
      <c r="C185" s="332">
        <v>12040426</v>
      </c>
      <c r="D185" s="332" t="s">
        <v>347</v>
      </c>
      <c r="E185" s="297">
        <v>9600000</v>
      </c>
      <c r="F185" s="114">
        <v>10080000</v>
      </c>
      <c r="G185" s="297">
        <v>10080000</v>
      </c>
    </row>
    <row r="186" spans="1:7" s="20" customFormat="1">
      <c r="A186" s="32">
        <v>17018001</v>
      </c>
      <c r="B186" s="332" t="s">
        <v>202</v>
      </c>
      <c r="C186" s="332">
        <v>12040052</v>
      </c>
      <c r="D186" s="332" t="s">
        <v>348</v>
      </c>
      <c r="E186" s="297">
        <v>260800000</v>
      </c>
      <c r="F186" s="114">
        <f>273840000+50000000</f>
        <v>323840000</v>
      </c>
      <c r="G186" s="297">
        <f>273840000+50000000</f>
        <v>323840000</v>
      </c>
    </row>
    <row r="187" spans="1:7" s="20" customFormat="1">
      <c r="A187" s="32">
        <v>17018001</v>
      </c>
      <c r="B187" s="332" t="s">
        <v>202</v>
      </c>
      <c r="C187" s="332">
        <v>12040041</v>
      </c>
      <c r="D187" s="332" t="s">
        <v>332</v>
      </c>
      <c r="E187" s="297">
        <v>22500000</v>
      </c>
      <c r="F187" s="114">
        <v>23625000</v>
      </c>
      <c r="G187" s="297">
        <v>23625000</v>
      </c>
    </row>
    <row r="188" spans="1:7" s="20" customFormat="1">
      <c r="A188" s="32">
        <v>17018001</v>
      </c>
      <c r="B188" s="332" t="s">
        <v>202</v>
      </c>
      <c r="C188" s="332">
        <v>12040532</v>
      </c>
      <c r="D188" s="332" t="s">
        <v>349</v>
      </c>
      <c r="E188" s="297">
        <v>9000000</v>
      </c>
      <c r="F188" s="114">
        <v>9450000</v>
      </c>
      <c r="G188" s="297">
        <v>9450000</v>
      </c>
    </row>
    <row r="189" spans="1:7" s="20" customFormat="1">
      <c r="A189" s="32">
        <v>17018001</v>
      </c>
      <c r="B189" s="332" t="s">
        <v>202</v>
      </c>
      <c r="C189" s="332">
        <v>12040274</v>
      </c>
      <c r="D189" s="332" t="s">
        <v>350</v>
      </c>
      <c r="E189" s="297">
        <v>30000000</v>
      </c>
      <c r="F189" s="114">
        <v>31500000</v>
      </c>
      <c r="G189" s="297">
        <v>31500000</v>
      </c>
    </row>
    <row r="190" spans="1:7" s="20" customFormat="1">
      <c r="A190" s="32">
        <v>17018001</v>
      </c>
      <c r="B190" s="332" t="s">
        <v>202</v>
      </c>
      <c r="C190" s="332">
        <v>12070130</v>
      </c>
      <c r="D190" s="332" t="s">
        <v>340</v>
      </c>
      <c r="E190" s="297">
        <v>500000</v>
      </c>
      <c r="F190" s="114">
        <v>525000</v>
      </c>
      <c r="G190" s="297">
        <v>525000</v>
      </c>
    </row>
    <row r="191" spans="1:7" s="20" customFormat="1">
      <c r="A191" s="32">
        <v>17018001</v>
      </c>
      <c r="B191" s="332" t="s">
        <v>202</v>
      </c>
      <c r="C191" s="332">
        <v>12060029</v>
      </c>
      <c r="D191" s="332" t="s">
        <v>351</v>
      </c>
      <c r="E191" s="297">
        <v>50000000</v>
      </c>
      <c r="F191" s="114">
        <v>52500000</v>
      </c>
      <c r="G191" s="297">
        <v>52500000</v>
      </c>
    </row>
    <row r="192" spans="1:7" s="20" customFormat="1" ht="30">
      <c r="A192" s="32">
        <v>17018001</v>
      </c>
      <c r="B192" s="332" t="s">
        <v>202</v>
      </c>
      <c r="C192" s="332">
        <v>12080013</v>
      </c>
      <c r="D192" s="332" t="s">
        <v>1771</v>
      </c>
      <c r="E192" s="297">
        <v>30000000</v>
      </c>
      <c r="F192" s="114">
        <v>31500000</v>
      </c>
      <c r="G192" s="297">
        <v>31500000</v>
      </c>
    </row>
    <row r="193" spans="1:7" s="20" customFormat="1">
      <c r="A193" s="32">
        <v>17018001</v>
      </c>
      <c r="B193" s="332" t="s">
        <v>202</v>
      </c>
      <c r="C193" s="332">
        <v>12040586</v>
      </c>
      <c r="D193" s="332" t="s">
        <v>352</v>
      </c>
      <c r="E193" s="297">
        <v>8000000</v>
      </c>
      <c r="F193" s="114">
        <v>8400000</v>
      </c>
      <c r="G193" s="297">
        <v>8400000</v>
      </c>
    </row>
    <row r="194" spans="1:7" s="20" customFormat="1">
      <c r="A194" s="32">
        <v>17018001</v>
      </c>
      <c r="B194" s="332" t="s">
        <v>202</v>
      </c>
      <c r="C194" s="332">
        <v>12040633</v>
      </c>
      <c r="D194" s="332" t="s">
        <v>353</v>
      </c>
      <c r="E194" s="297">
        <v>30000000</v>
      </c>
      <c r="F194" s="114">
        <v>31500000</v>
      </c>
      <c r="G194" s="297">
        <v>31500000</v>
      </c>
    </row>
    <row r="195" spans="1:7" s="20" customFormat="1">
      <c r="A195" s="32">
        <v>17018001</v>
      </c>
      <c r="B195" s="332" t="s">
        <v>202</v>
      </c>
      <c r="C195" s="332">
        <v>12070055</v>
      </c>
      <c r="D195" s="332" t="s">
        <v>354</v>
      </c>
      <c r="E195" s="297">
        <v>30000000</v>
      </c>
      <c r="F195" s="114">
        <v>31500000</v>
      </c>
      <c r="G195" s="297">
        <v>31500000</v>
      </c>
    </row>
    <row r="196" spans="1:7" s="20" customFormat="1">
      <c r="A196" s="32">
        <v>17018001</v>
      </c>
      <c r="B196" s="332" t="s">
        <v>202</v>
      </c>
      <c r="C196" s="332">
        <v>12040318</v>
      </c>
      <c r="D196" s="332" t="s">
        <v>355</v>
      </c>
      <c r="E196" s="297">
        <v>22500000</v>
      </c>
      <c r="F196" s="114">
        <v>23625000</v>
      </c>
      <c r="G196" s="297">
        <v>23625000</v>
      </c>
    </row>
    <row r="197" spans="1:7" s="66" customFormat="1">
      <c r="A197" s="30"/>
      <c r="B197" s="231"/>
      <c r="C197" s="231"/>
      <c r="D197" s="231" t="s">
        <v>242</v>
      </c>
      <c r="E197" s="114">
        <f>SUM(E180:E196)</f>
        <v>594400000</v>
      </c>
      <c r="F197" s="114">
        <f>SUM(F180:F196)</f>
        <v>674120000</v>
      </c>
      <c r="G197" s="114">
        <f>SUM(G180:G196)</f>
        <v>674120000</v>
      </c>
    </row>
    <row r="198" spans="1:7" s="20" customFormat="1">
      <c r="A198" s="32"/>
      <c r="B198" s="332"/>
      <c r="C198" s="332"/>
      <c r="D198" s="332"/>
      <c r="E198" s="297"/>
      <c r="F198" s="114"/>
      <c r="G198" s="297"/>
    </row>
    <row r="199" spans="1:7" s="20" customFormat="1">
      <c r="A199" s="32"/>
      <c r="B199" s="332"/>
      <c r="C199" s="332"/>
      <c r="D199" s="332"/>
      <c r="E199" s="297"/>
      <c r="F199" s="114"/>
      <c r="G199" s="297"/>
    </row>
    <row r="200" spans="1:7" s="20" customFormat="1">
      <c r="A200" s="332"/>
      <c r="B200" s="332"/>
      <c r="C200" s="332"/>
      <c r="D200" s="332"/>
      <c r="E200" s="313"/>
      <c r="F200" s="392"/>
      <c r="G200" s="313"/>
    </row>
    <row r="201" spans="1:7" s="20" customFormat="1" ht="30">
      <c r="A201" s="32">
        <v>517019001</v>
      </c>
      <c r="B201" s="332" t="s">
        <v>147</v>
      </c>
      <c r="C201" s="332">
        <v>12040017</v>
      </c>
      <c r="D201" s="332" t="s">
        <v>356</v>
      </c>
      <c r="E201" s="297">
        <v>900000</v>
      </c>
      <c r="F201" s="114">
        <v>500000</v>
      </c>
      <c r="G201" s="297">
        <v>500000</v>
      </c>
    </row>
    <row r="202" spans="1:7" s="20" customFormat="1">
      <c r="A202" s="32">
        <v>517019001</v>
      </c>
      <c r="B202" s="332" t="s">
        <v>147</v>
      </c>
      <c r="C202" s="332">
        <v>12040040</v>
      </c>
      <c r="D202" s="332" t="s">
        <v>357</v>
      </c>
      <c r="E202" s="297">
        <v>6298000</v>
      </c>
      <c r="F202" s="114">
        <v>6774000</v>
      </c>
      <c r="G202" s="297">
        <v>6774000</v>
      </c>
    </row>
    <row r="203" spans="1:7" s="20" customFormat="1">
      <c r="A203" s="32">
        <v>517019001</v>
      </c>
      <c r="B203" s="332" t="s">
        <v>147</v>
      </c>
      <c r="C203" s="332">
        <v>12040041</v>
      </c>
      <c r="D203" s="332" t="s">
        <v>358</v>
      </c>
      <c r="E203" s="297">
        <v>14089000</v>
      </c>
      <c r="F203" s="114">
        <v>14149000</v>
      </c>
      <c r="G203" s="297">
        <v>14149000</v>
      </c>
    </row>
    <row r="204" spans="1:7" s="20" customFormat="1">
      <c r="A204" s="32">
        <v>517019001</v>
      </c>
      <c r="B204" s="332" t="s">
        <v>147</v>
      </c>
      <c r="C204" s="332">
        <v>12040052</v>
      </c>
      <c r="D204" s="332" t="s">
        <v>1772</v>
      </c>
      <c r="E204" s="297">
        <v>6750000</v>
      </c>
      <c r="F204" s="114">
        <v>4255000</v>
      </c>
      <c r="G204" s="297">
        <v>4255000</v>
      </c>
    </row>
    <row r="205" spans="1:7" s="20" customFormat="1" ht="30">
      <c r="A205" s="32">
        <v>517019001</v>
      </c>
      <c r="B205" s="332" t="s">
        <v>147</v>
      </c>
      <c r="C205" s="332">
        <v>12040274</v>
      </c>
      <c r="D205" s="332" t="s">
        <v>359</v>
      </c>
      <c r="E205" s="297">
        <v>31993840</v>
      </c>
      <c r="F205" s="114">
        <v>32906500</v>
      </c>
      <c r="G205" s="297">
        <v>32906500</v>
      </c>
    </row>
    <row r="206" spans="1:7" s="20" customFormat="1">
      <c r="A206" s="32">
        <v>517019001</v>
      </c>
      <c r="B206" s="332" t="s">
        <v>147</v>
      </c>
      <c r="C206" s="332">
        <v>12040279</v>
      </c>
      <c r="D206" s="332" t="s">
        <v>360</v>
      </c>
      <c r="E206" s="297">
        <v>9761900</v>
      </c>
      <c r="F206" s="114">
        <v>13548000</v>
      </c>
      <c r="G206" s="297">
        <v>13548000</v>
      </c>
    </row>
    <row r="207" spans="1:7" s="20" customFormat="1">
      <c r="A207" s="32">
        <v>517019001</v>
      </c>
      <c r="B207" s="332" t="s">
        <v>147</v>
      </c>
      <c r="C207" s="332">
        <v>12040316</v>
      </c>
      <c r="D207" s="332" t="s">
        <v>361</v>
      </c>
      <c r="E207" s="297">
        <v>28341000</v>
      </c>
      <c r="F207" s="114">
        <v>27096000</v>
      </c>
      <c r="G207" s="297">
        <v>27096000</v>
      </c>
    </row>
    <row r="208" spans="1:7" s="20" customFormat="1" ht="30">
      <c r="A208" s="32">
        <v>517019001</v>
      </c>
      <c r="B208" s="332" t="s">
        <v>147</v>
      </c>
      <c r="C208" s="332">
        <v>12040477</v>
      </c>
      <c r="D208" s="332" t="s">
        <v>362</v>
      </c>
      <c r="E208" s="297">
        <v>25000000</v>
      </c>
      <c r="F208" s="114">
        <v>20000000</v>
      </c>
      <c r="G208" s="297">
        <v>20000000</v>
      </c>
    </row>
    <row r="209" spans="1:7" s="20" customFormat="1">
      <c r="A209" s="32">
        <v>517019001</v>
      </c>
      <c r="B209" s="332" t="s">
        <v>147</v>
      </c>
      <c r="C209" s="332">
        <v>12040515</v>
      </c>
      <c r="D209" s="332" t="s">
        <v>363</v>
      </c>
      <c r="E209" s="297">
        <v>12596000</v>
      </c>
      <c r="F209" s="114">
        <v>13548000</v>
      </c>
      <c r="G209" s="297">
        <v>13548000</v>
      </c>
    </row>
    <row r="210" spans="1:7" s="20" customFormat="1">
      <c r="A210" s="32">
        <v>517019001</v>
      </c>
      <c r="B210" s="332" t="s">
        <v>147</v>
      </c>
      <c r="C210" s="332">
        <v>12040532</v>
      </c>
      <c r="D210" s="332" t="s">
        <v>364</v>
      </c>
      <c r="E210" s="297">
        <v>9110000</v>
      </c>
      <c r="F210" s="114">
        <v>3135000</v>
      </c>
      <c r="G210" s="297">
        <v>3135000</v>
      </c>
    </row>
    <row r="211" spans="1:7" s="20" customFormat="1">
      <c r="A211" s="32">
        <v>517019001</v>
      </c>
      <c r="B211" s="332" t="s">
        <v>147</v>
      </c>
      <c r="C211" s="332">
        <v>12040570</v>
      </c>
      <c r="D211" s="332" t="s">
        <v>365</v>
      </c>
      <c r="E211" s="297">
        <v>6298000</v>
      </c>
      <c r="F211" s="114">
        <v>6774000</v>
      </c>
      <c r="G211" s="297">
        <v>6774000</v>
      </c>
    </row>
    <row r="212" spans="1:7" s="20" customFormat="1">
      <c r="A212" s="32">
        <v>517019001</v>
      </c>
      <c r="B212" s="332" t="s">
        <v>147</v>
      </c>
      <c r="C212" s="332">
        <v>12040586</v>
      </c>
      <c r="D212" s="332" t="s">
        <v>366</v>
      </c>
      <c r="E212" s="297">
        <v>1190000</v>
      </c>
      <c r="F212" s="114">
        <v>1200000</v>
      </c>
      <c r="G212" s="297">
        <v>1200000</v>
      </c>
    </row>
    <row r="213" spans="1:7" s="20" customFormat="1">
      <c r="A213" s="32">
        <v>517019001</v>
      </c>
      <c r="B213" s="332" t="s">
        <v>147</v>
      </c>
      <c r="C213" s="332">
        <v>12040617</v>
      </c>
      <c r="D213" s="332" t="s">
        <v>367</v>
      </c>
      <c r="E213" s="297">
        <v>12596000</v>
      </c>
      <c r="F213" s="114">
        <v>13548000</v>
      </c>
      <c r="G213" s="297">
        <v>13548000</v>
      </c>
    </row>
    <row r="214" spans="1:7" s="20" customFormat="1">
      <c r="A214" s="32">
        <v>517019001</v>
      </c>
      <c r="B214" s="332" t="s">
        <v>147</v>
      </c>
      <c r="C214" s="332">
        <v>12040618</v>
      </c>
      <c r="D214" s="332" t="s">
        <v>368</v>
      </c>
      <c r="E214" s="297">
        <v>6000000</v>
      </c>
      <c r="F214" s="114">
        <v>4152000</v>
      </c>
      <c r="G214" s="297">
        <v>4152000</v>
      </c>
    </row>
    <row r="215" spans="1:7" s="20" customFormat="1">
      <c r="A215" s="32">
        <v>517019001</v>
      </c>
      <c r="B215" s="332" t="s">
        <v>147</v>
      </c>
      <c r="C215" s="332">
        <v>12040619</v>
      </c>
      <c r="D215" s="332" t="s">
        <v>369</v>
      </c>
      <c r="E215" s="297">
        <v>3149000</v>
      </c>
      <c r="F215" s="114">
        <v>1038000</v>
      </c>
      <c r="G215" s="297">
        <v>1038000</v>
      </c>
    </row>
    <row r="216" spans="1:7" s="20" customFormat="1">
      <c r="A216" s="32">
        <v>517019001</v>
      </c>
      <c r="B216" s="332" t="s">
        <v>147</v>
      </c>
      <c r="C216" s="332">
        <v>12040628</v>
      </c>
      <c r="D216" s="332" t="s">
        <v>370</v>
      </c>
      <c r="E216" s="297">
        <v>5250000</v>
      </c>
      <c r="F216" s="114">
        <v>8145000</v>
      </c>
      <c r="G216" s="297">
        <v>8145000</v>
      </c>
    </row>
    <row r="217" spans="1:7" s="20" customFormat="1">
      <c r="A217" s="32">
        <v>517019001</v>
      </c>
      <c r="B217" s="332" t="s">
        <v>147</v>
      </c>
      <c r="C217" s="332">
        <v>12040632</v>
      </c>
      <c r="D217" s="332" t="s">
        <v>371</v>
      </c>
      <c r="E217" s="297">
        <v>18894000</v>
      </c>
      <c r="F217" s="114">
        <v>23709000</v>
      </c>
      <c r="G217" s="297">
        <v>23709000</v>
      </c>
    </row>
    <row r="218" spans="1:7" s="20" customFormat="1">
      <c r="A218" s="32">
        <v>517019001</v>
      </c>
      <c r="B218" s="332" t="s">
        <v>147</v>
      </c>
      <c r="C218" s="332">
        <v>12040641</v>
      </c>
      <c r="D218" s="332" t="s">
        <v>372</v>
      </c>
      <c r="E218" s="297">
        <v>11250000</v>
      </c>
      <c r="F218" s="114">
        <v>8890000</v>
      </c>
      <c r="G218" s="297">
        <v>8890000</v>
      </c>
    </row>
    <row r="219" spans="1:7" s="20" customFormat="1">
      <c r="A219" s="32">
        <v>517019001</v>
      </c>
      <c r="B219" s="332" t="s">
        <v>147</v>
      </c>
      <c r="C219" s="332">
        <v>12020601</v>
      </c>
      <c r="D219" s="332" t="s">
        <v>373</v>
      </c>
      <c r="E219" s="297">
        <v>4500000</v>
      </c>
      <c r="F219" s="114">
        <v>3114000</v>
      </c>
      <c r="G219" s="297">
        <v>3114000</v>
      </c>
    </row>
    <row r="220" spans="1:7" s="20" customFormat="1">
      <c r="A220" s="32">
        <v>517019001</v>
      </c>
      <c r="B220" s="332" t="s">
        <v>147</v>
      </c>
      <c r="C220" s="332">
        <v>12020701</v>
      </c>
      <c r="D220" s="332" t="s">
        <v>374</v>
      </c>
      <c r="E220" s="297">
        <v>20000000</v>
      </c>
      <c r="F220" s="114">
        <v>15000000</v>
      </c>
      <c r="G220" s="297">
        <v>15000000</v>
      </c>
    </row>
    <row r="221" spans="1:7" s="20" customFormat="1">
      <c r="A221" s="32">
        <v>517019001</v>
      </c>
      <c r="B221" s="332" t="s">
        <v>147</v>
      </c>
      <c r="C221" s="332">
        <v>12020803</v>
      </c>
      <c r="D221" s="332" t="s">
        <v>375</v>
      </c>
      <c r="E221" s="297">
        <v>873000</v>
      </c>
      <c r="F221" s="114">
        <v>873000</v>
      </c>
      <c r="G221" s="297">
        <v>873000</v>
      </c>
    </row>
    <row r="222" spans="1:7" s="20" customFormat="1">
      <c r="A222" s="32">
        <v>517019001</v>
      </c>
      <c r="B222" s="332" t="s">
        <v>147</v>
      </c>
      <c r="C222" s="332">
        <v>12150011</v>
      </c>
      <c r="D222" s="332" t="s">
        <v>376</v>
      </c>
      <c r="E222" s="297">
        <v>25500000</v>
      </c>
      <c r="F222" s="114">
        <f>56676300+57185500</f>
        <v>113861800</v>
      </c>
      <c r="G222" s="297">
        <f>56676300+57185500</f>
        <v>113861800</v>
      </c>
    </row>
    <row r="223" spans="1:7" s="20" customFormat="1">
      <c r="A223" s="32">
        <v>517019001</v>
      </c>
      <c r="B223" s="332" t="s">
        <v>147</v>
      </c>
      <c r="C223" s="332">
        <v>12150012</v>
      </c>
      <c r="D223" s="332" t="s">
        <v>377</v>
      </c>
      <c r="E223" s="297">
        <v>6542500</v>
      </c>
      <c r="F223" s="114">
        <v>4225000</v>
      </c>
      <c r="G223" s="297">
        <v>4225000</v>
      </c>
    </row>
    <row r="224" spans="1:7" s="20" customFormat="1">
      <c r="A224" s="32">
        <v>517019001</v>
      </c>
      <c r="B224" s="332" t="s">
        <v>147</v>
      </c>
      <c r="C224" s="332">
        <v>12150013</v>
      </c>
      <c r="D224" s="332" t="s">
        <v>378</v>
      </c>
      <c r="E224" s="297">
        <v>1072500</v>
      </c>
      <c r="F224" s="114">
        <v>2040000</v>
      </c>
      <c r="G224" s="297">
        <v>2040000</v>
      </c>
    </row>
    <row r="225" spans="1:7" s="66" customFormat="1">
      <c r="A225" s="30"/>
      <c r="B225" s="231"/>
      <c r="C225" s="231"/>
      <c r="D225" s="231" t="s">
        <v>242</v>
      </c>
      <c r="E225" s="114">
        <f>SUM(E201:E224)</f>
        <v>267954740</v>
      </c>
      <c r="F225" s="114">
        <f>SUM(F201:F224)</f>
        <v>342481300</v>
      </c>
      <c r="G225" s="114">
        <f>SUM(G201:G224)</f>
        <v>342481300</v>
      </c>
    </row>
    <row r="226" spans="1:7" s="20" customFormat="1">
      <c r="A226" s="32"/>
      <c r="B226" s="332"/>
      <c r="C226" s="332"/>
      <c r="D226" s="332"/>
      <c r="E226" s="297"/>
      <c r="F226" s="114"/>
      <c r="G226" s="297"/>
    </row>
    <row r="227" spans="1:7" s="20" customFormat="1">
      <c r="A227" s="32"/>
      <c r="B227" s="332"/>
      <c r="C227" s="332"/>
      <c r="D227" s="332"/>
      <c r="E227" s="297"/>
      <c r="F227" s="114"/>
      <c r="G227" s="297"/>
    </row>
    <row r="228" spans="1:7" s="20" customFormat="1">
      <c r="A228" s="32">
        <v>517010001</v>
      </c>
      <c r="B228" s="332" t="s">
        <v>203</v>
      </c>
      <c r="C228" s="332"/>
      <c r="D228" s="332" t="s">
        <v>379</v>
      </c>
      <c r="E228" s="297">
        <v>200000</v>
      </c>
      <c r="F228" s="114">
        <v>270000</v>
      </c>
      <c r="G228" s="297">
        <v>270000</v>
      </c>
    </row>
    <row r="229" spans="1:7" s="20" customFormat="1">
      <c r="A229" s="32">
        <v>517010001</v>
      </c>
      <c r="B229" s="332" t="s">
        <v>203</v>
      </c>
      <c r="C229" s="332"/>
      <c r="D229" s="332" t="s">
        <v>380</v>
      </c>
      <c r="E229" s="297">
        <v>250000</v>
      </c>
      <c r="F229" s="114">
        <v>305000</v>
      </c>
      <c r="G229" s="297">
        <v>305000</v>
      </c>
    </row>
    <row r="230" spans="1:7" s="20" customFormat="1">
      <c r="A230" s="32">
        <v>517010001</v>
      </c>
      <c r="B230" s="332" t="s">
        <v>203</v>
      </c>
      <c r="C230" s="332"/>
      <c r="D230" s="332" t="s">
        <v>381</v>
      </c>
      <c r="E230" s="297">
        <v>200000</v>
      </c>
      <c r="F230" s="114">
        <v>270000</v>
      </c>
      <c r="G230" s="297">
        <v>270000</v>
      </c>
    </row>
    <row r="231" spans="1:7" s="66" customFormat="1">
      <c r="A231" s="30"/>
      <c r="B231" s="231"/>
      <c r="C231" s="231"/>
      <c r="D231" s="231" t="s">
        <v>242</v>
      </c>
      <c r="E231" s="114">
        <f>SUM(E228:E230)</f>
        <v>650000</v>
      </c>
      <c r="F231" s="114">
        <f>SUM(F228:F230)</f>
        <v>845000</v>
      </c>
      <c r="G231" s="114">
        <f>SUM(G228:G230)</f>
        <v>845000</v>
      </c>
    </row>
    <row r="232" spans="1:7" s="20" customFormat="1">
      <c r="A232" s="32"/>
      <c r="B232" s="332"/>
      <c r="C232" s="332"/>
      <c r="D232" s="332"/>
      <c r="E232" s="297"/>
      <c r="F232" s="114"/>
      <c r="G232" s="297"/>
    </row>
    <row r="233" spans="1:7" s="20" customFormat="1">
      <c r="A233" s="32"/>
      <c r="B233" s="332"/>
      <c r="C233" s="332"/>
      <c r="D233" s="332"/>
      <c r="E233" s="297"/>
      <c r="F233" s="114"/>
      <c r="G233" s="297"/>
    </row>
    <row r="234" spans="1:7" s="20" customFormat="1">
      <c r="A234" s="32">
        <v>517008001</v>
      </c>
      <c r="B234" s="332" t="s">
        <v>382</v>
      </c>
      <c r="C234" s="332">
        <v>12040569</v>
      </c>
      <c r="D234" s="332" t="s">
        <v>319</v>
      </c>
      <c r="E234" s="297">
        <v>30000</v>
      </c>
      <c r="F234" s="114">
        <v>15000</v>
      </c>
      <c r="G234" s="297">
        <v>15001</v>
      </c>
    </row>
    <row r="235" spans="1:7" s="20" customFormat="1">
      <c r="A235" s="32">
        <v>517008001</v>
      </c>
      <c r="B235" s="332" t="s">
        <v>382</v>
      </c>
      <c r="C235" s="332">
        <v>12040616</v>
      </c>
      <c r="D235" s="332" t="s">
        <v>383</v>
      </c>
      <c r="E235" s="297">
        <v>200000</v>
      </c>
      <c r="F235" s="114">
        <f>150000-25000</f>
        <v>125000</v>
      </c>
      <c r="G235" s="297">
        <f>150000-25000</f>
        <v>125000</v>
      </c>
    </row>
    <row r="236" spans="1:7" s="20" customFormat="1" ht="30">
      <c r="A236" s="32">
        <v>517008001</v>
      </c>
      <c r="B236" s="332" t="s">
        <v>382</v>
      </c>
      <c r="C236" s="332">
        <v>12090005</v>
      </c>
      <c r="D236" s="332" t="s">
        <v>384</v>
      </c>
      <c r="E236" s="297">
        <v>70000</v>
      </c>
      <c r="F236" s="114">
        <v>60000</v>
      </c>
      <c r="G236" s="297">
        <v>60001</v>
      </c>
    </row>
    <row r="237" spans="1:7" s="66" customFormat="1">
      <c r="A237" s="30"/>
      <c r="B237" s="231"/>
      <c r="C237" s="231"/>
      <c r="D237" s="231" t="s">
        <v>242</v>
      </c>
      <c r="E237" s="114">
        <f>SUM(E234:E236)</f>
        <v>300000</v>
      </c>
      <c r="F237" s="114">
        <f>SUM(F234:F236)</f>
        <v>200000</v>
      </c>
      <c r="G237" s="114">
        <f>SUM(G234:G236)</f>
        <v>200002</v>
      </c>
    </row>
    <row r="238" spans="1:7" s="20" customFormat="1">
      <c r="A238" s="32"/>
      <c r="B238" s="332"/>
      <c r="C238" s="332"/>
      <c r="D238" s="332"/>
      <c r="E238" s="297"/>
      <c r="F238" s="114"/>
      <c r="G238" s="297"/>
    </row>
    <row r="239" spans="1:7" s="20" customFormat="1">
      <c r="A239" s="332"/>
      <c r="B239" s="332"/>
      <c r="C239" s="332"/>
      <c r="D239" s="332"/>
      <c r="E239" s="313"/>
      <c r="F239" s="392"/>
      <c r="G239" s="313"/>
    </row>
    <row r="240" spans="1:7" s="20" customFormat="1" ht="30">
      <c r="A240" s="32">
        <v>517056001</v>
      </c>
      <c r="B240" s="332" t="s">
        <v>127</v>
      </c>
      <c r="C240" s="332">
        <v>12090005</v>
      </c>
      <c r="D240" s="332" t="s">
        <v>385</v>
      </c>
      <c r="E240" s="297">
        <v>230000</v>
      </c>
      <c r="F240" s="114">
        <f>230000+70000</f>
        <v>300000</v>
      </c>
      <c r="G240" s="297">
        <f>230000+70000</f>
        <v>300000</v>
      </c>
    </row>
    <row r="241" spans="1:7" s="66" customFormat="1">
      <c r="A241" s="30"/>
      <c r="B241" s="231"/>
      <c r="C241" s="231"/>
      <c r="D241" s="231" t="s">
        <v>242</v>
      </c>
      <c r="E241" s="114">
        <f>SUM(E240)</f>
        <v>230000</v>
      </c>
      <c r="F241" s="114">
        <f>SUM(F240)</f>
        <v>300000</v>
      </c>
      <c r="G241" s="114">
        <f>SUM(G240)</f>
        <v>300000</v>
      </c>
    </row>
    <row r="242" spans="1:7" s="20" customFormat="1">
      <c r="A242" s="32"/>
      <c r="B242" s="332"/>
      <c r="C242" s="332"/>
      <c r="D242" s="332"/>
      <c r="E242" s="297"/>
      <c r="F242" s="114"/>
      <c r="G242" s="297"/>
    </row>
    <row r="243" spans="1:7" s="20" customFormat="1">
      <c r="A243" s="332"/>
      <c r="B243" s="332"/>
      <c r="C243" s="332"/>
      <c r="D243" s="332"/>
      <c r="E243" s="313"/>
      <c r="F243" s="392"/>
      <c r="G243" s="313"/>
    </row>
    <row r="244" spans="1:7" s="20" customFormat="1">
      <c r="A244" s="32">
        <v>517057001</v>
      </c>
      <c r="B244" s="332" t="s">
        <v>386</v>
      </c>
      <c r="C244" s="332">
        <v>120400702</v>
      </c>
      <c r="D244" s="332" t="s">
        <v>387</v>
      </c>
      <c r="E244" s="297">
        <v>5000000</v>
      </c>
      <c r="F244" s="114">
        <v>6500000</v>
      </c>
      <c r="G244" s="297">
        <v>6500001</v>
      </c>
    </row>
    <row r="245" spans="1:7" s="20" customFormat="1">
      <c r="A245" s="32">
        <v>517057001</v>
      </c>
      <c r="B245" s="332" t="s">
        <v>386</v>
      </c>
      <c r="C245" s="332">
        <v>120400701</v>
      </c>
      <c r="D245" s="332" t="s">
        <v>388</v>
      </c>
      <c r="E245" s="297">
        <v>241155338</v>
      </c>
      <c r="F245" s="114">
        <f>313501939.4+18153398.6</f>
        <v>331655338</v>
      </c>
      <c r="G245" s="297">
        <f>313501939.4+18153398.6</f>
        <v>331655338</v>
      </c>
    </row>
    <row r="246" spans="1:7" s="66" customFormat="1">
      <c r="A246" s="30"/>
      <c r="B246" s="231"/>
      <c r="C246" s="231"/>
      <c r="D246" s="231" t="s">
        <v>242</v>
      </c>
      <c r="E246" s="114">
        <v>246155338</v>
      </c>
      <c r="F246" s="114">
        <f>SUM(F244:F245)</f>
        <v>338155338</v>
      </c>
      <c r="G246" s="114">
        <f>SUM(G244:G245)</f>
        <v>338155339</v>
      </c>
    </row>
    <row r="247" spans="1:7" s="20" customFormat="1">
      <c r="A247" s="32"/>
      <c r="B247" s="332"/>
      <c r="C247" s="332"/>
      <c r="D247" s="332"/>
      <c r="E247" s="297"/>
      <c r="F247" s="114"/>
      <c r="G247" s="297"/>
    </row>
    <row r="248" spans="1:7" s="20" customFormat="1">
      <c r="A248" s="32"/>
      <c r="B248" s="332"/>
      <c r="C248" s="332"/>
      <c r="D248" s="332"/>
      <c r="E248" s="313"/>
      <c r="F248" s="392"/>
      <c r="G248" s="313"/>
    </row>
    <row r="249" spans="1:7" s="20" customFormat="1">
      <c r="A249" s="32">
        <v>517026001</v>
      </c>
      <c r="B249" s="332" t="s">
        <v>389</v>
      </c>
      <c r="C249" s="332" t="s">
        <v>390</v>
      </c>
      <c r="D249" s="332" t="s">
        <v>391</v>
      </c>
      <c r="E249" s="297">
        <v>1690200</v>
      </c>
      <c r="F249" s="114">
        <v>1689750</v>
      </c>
      <c r="G249" s="297">
        <v>1689750</v>
      </c>
    </row>
    <row r="250" spans="1:7" s="20" customFormat="1">
      <c r="A250" s="32">
        <v>517026001</v>
      </c>
      <c r="B250" s="332" t="s">
        <v>389</v>
      </c>
      <c r="C250" s="332" t="s">
        <v>392</v>
      </c>
      <c r="D250" s="332" t="s">
        <v>312</v>
      </c>
      <c r="E250" s="297">
        <v>563400</v>
      </c>
      <c r="F250" s="114">
        <v>751000</v>
      </c>
      <c r="G250" s="297">
        <v>751000</v>
      </c>
    </row>
    <row r="251" spans="1:7" s="20" customFormat="1">
      <c r="A251" s="32">
        <v>517026001</v>
      </c>
      <c r="B251" s="332" t="s">
        <v>389</v>
      </c>
      <c r="C251" s="332" t="s">
        <v>393</v>
      </c>
      <c r="D251" s="332" t="s">
        <v>313</v>
      </c>
      <c r="E251" s="297">
        <v>563400</v>
      </c>
      <c r="F251" s="114">
        <v>751000</v>
      </c>
      <c r="G251" s="297">
        <v>751000</v>
      </c>
    </row>
    <row r="252" spans="1:7" s="20" customFormat="1">
      <c r="A252" s="32">
        <v>517026001</v>
      </c>
      <c r="B252" s="332" t="s">
        <v>389</v>
      </c>
      <c r="C252" s="332" t="s">
        <v>394</v>
      </c>
      <c r="D252" s="332" t="s">
        <v>395</v>
      </c>
      <c r="E252" s="297">
        <v>375600</v>
      </c>
      <c r="F252" s="114">
        <v>375500</v>
      </c>
      <c r="G252" s="297">
        <v>375500</v>
      </c>
    </row>
    <row r="253" spans="1:7" s="20" customFormat="1">
      <c r="A253" s="32">
        <v>517026001</v>
      </c>
      <c r="B253" s="332" t="s">
        <v>389</v>
      </c>
      <c r="C253" s="332" t="s">
        <v>396</v>
      </c>
      <c r="D253" s="332" t="s">
        <v>332</v>
      </c>
      <c r="E253" s="297">
        <v>3395250</v>
      </c>
      <c r="F253" s="114">
        <v>3395250</v>
      </c>
      <c r="G253" s="297">
        <v>3395250</v>
      </c>
    </row>
    <row r="254" spans="1:7" s="20" customFormat="1">
      <c r="A254" s="32">
        <v>517026001</v>
      </c>
      <c r="B254" s="332" t="s">
        <v>389</v>
      </c>
      <c r="C254" s="332" t="s">
        <v>397</v>
      </c>
      <c r="D254" s="332" t="s">
        <v>336</v>
      </c>
      <c r="E254" s="297">
        <v>39480000</v>
      </c>
      <c r="F254" s="114">
        <v>44001750</v>
      </c>
      <c r="G254" s="297">
        <v>44001750</v>
      </c>
    </row>
    <row r="255" spans="1:7" s="20" customFormat="1">
      <c r="A255" s="32">
        <v>517026001</v>
      </c>
      <c r="B255" s="332" t="s">
        <v>389</v>
      </c>
      <c r="C255" s="332" t="s">
        <v>398</v>
      </c>
      <c r="D255" s="332" t="s">
        <v>399</v>
      </c>
      <c r="E255" s="297">
        <v>563400</v>
      </c>
      <c r="F255" s="114">
        <v>563250</v>
      </c>
      <c r="G255" s="297">
        <v>563250</v>
      </c>
    </row>
    <row r="256" spans="1:7" s="20" customFormat="1">
      <c r="A256" s="32">
        <v>517026001</v>
      </c>
      <c r="B256" s="332" t="s">
        <v>389</v>
      </c>
      <c r="C256" s="332" t="s">
        <v>400</v>
      </c>
      <c r="D256" s="332" t="s">
        <v>401</v>
      </c>
      <c r="E256" s="297">
        <v>150000</v>
      </c>
      <c r="F256" s="114">
        <v>150000</v>
      </c>
      <c r="G256" s="297">
        <v>150000</v>
      </c>
    </row>
    <row r="257" spans="1:7" s="20" customFormat="1">
      <c r="A257" s="32">
        <v>517026001</v>
      </c>
      <c r="B257" s="332" t="s">
        <v>389</v>
      </c>
      <c r="C257" s="332" t="s">
        <v>402</v>
      </c>
      <c r="D257" s="332" t="s">
        <v>403</v>
      </c>
      <c r="E257" s="297">
        <v>563400</v>
      </c>
      <c r="F257" s="114">
        <v>751000</v>
      </c>
      <c r="G257" s="297">
        <v>751000</v>
      </c>
    </row>
    <row r="258" spans="1:7" s="20" customFormat="1">
      <c r="A258" s="32">
        <v>517026001</v>
      </c>
      <c r="B258" s="332" t="s">
        <v>389</v>
      </c>
      <c r="C258" s="332" t="s">
        <v>404</v>
      </c>
      <c r="D258" s="332" t="s">
        <v>1773</v>
      </c>
      <c r="E258" s="297">
        <v>300000</v>
      </c>
      <c r="F258" s="114">
        <v>500000</v>
      </c>
      <c r="G258" s="297">
        <v>500000</v>
      </c>
    </row>
    <row r="259" spans="1:7" s="20" customFormat="1">
      <c r="A259" s="32">
        <v>517026001</v>
      </c>
      <c r="B259" s="332" t="s">
        <v>389</v>
      </c>
      <c r="C259" s="332" t="s">
        <v>405</v>
      </c>
      <c r="D259" s="332" t="s">
        <v>406</v>
      </c>
      <c r="E259" s="297">
        <v>563400</v>
      </c>
      <c r="F259" s="114">
        <v>751000</v>
      </c>
      <c r="G259" s="297">
        <v>751000</v>
      </c>
    </row>
    <row r="260" spans="1:7" s="20" customFormat="1">
      <c r="A260" s="32">
        <v>517026001</v>
      </c>
      <c r="B260" s="332" t="s">
        <v>389</v>
      </c>
      <c r="C260" s="332" t="s">
        <v>407</v>
      </c>
      <c r="D260" s="332" t="s">
        <v>408</v>
      </c>
      <c r="E260" s="297">
        <v>150000</v>
      </c>
      <c r="F260" s="114">
        <v>150000</v>
      </c>
      <c r="G260" s="297">
        <v>150000</v>
      </c>
    </row>
    <row r="261" spans="1:7" s="66" customFormat="1">
      <c r="A261" s="30"/>
      <c r="B261" s="231"/>
      <c r="C261" s="231"/>
      <c r="D261" s="231" t="s">
        <v>242</v>
      </c>
      <c r="E261" s="114">
        <f>SUM(E249:E260)</f>
        <v>48358050</v>
      </c>
      <c r="F261" s="114">
        <f>SUM(F249:F260)</f>
        <v>53829500</v>
      </c>
      <c r="G261" s="114">
        <f>SUM(G249:G260)</f>
        <v>53829500</v>
      </c>
    </row>
    <row r="262" spans="1:7" s="20" customFormat="1">
      <c r="A262" s="32"/>
      <c r="B262" s="332"/>
      <c r="C262" s="332"/>
      <c r="D262" s="332"/>
      <c r="E262" s="297"/>
      <c r="F262" s="114"/>
      <c r="G262" s="297"/>
    </row>
    <row r="263" spans="1:7" s="20" customFormat="1">
      <c r="A263" s="32"/>
      <c r="B263" s="332"/>
      <c r="C263" s="332"/>
      <c r="D263" s="332"/>
      <c r="E263" s="313"/>
      <c r="F263" s="392"/>
      <c r="G263" s="313"/>
    </row>
    <row r="264" spans="1:7" s="20" customFormat="1">
      <c r="A264" s="32">
        <v>517026002</v>
      </c>
      <c r="B264" s="332" t="s">
        <v>145</v>
      </c>
      <c r="C264" s="332">
        <v>12020469</v>
      </c>
      <c r="D264" s="332" t="s">
        <v>409</v>
      </c>
      <c r="E264" s="297">
        <v>19341000</v>
      </c>
      <c r="F264" s="114">
        <v>22680000</v>
      </c>
      <c r="G264" s="297">
        <v>22680000</v>
      </c>
    </row>
    <row r="265" spans="1:7" s="20" customFormat="1">
      <c r="A265" s="32">
        <v>517026002</v>
      </c>
      <c r="B265" s="332" t="s">
        <v>145</v>
      </c>
      <c r="C265" s="332">
        <v>12020478</v>
      </c>
      <c r="D265" s="332" t="s">
        <v>410</v>
      </c>
      <c r="E265" s="297">
        <v>138150</v>
      </c>
      <c r="F265" s="114">
        <v>54000</v>
      </c>
      <c r="G265" s="297">
        <v>54000</v>
      </c>
    </row>
    <row r="266" spans="1:7" s="20" customFormat="1">
      <c r="A266" s="32">
        <v>517026002</v>
      </c>
      <c r="B266" s="332" t="s">
        <v>145</v>
      </c>
      <c r="C266" s="332">
        <v>12020484</v>
      </c>
      <c r="D266" s="332" t="s">
        <v>411</v>
      </c>
      <c r="E266" s="297">
        <v>276300</v>
      </c>
      <c r="F266" s="114">
        <v>108000</v>
      </c>
      <c r="G266" s="297">
        <v>108000</v>
      </c>
    </row>
    <row r="267" spans="1:7" s="20" customFormat="1">
      <c r="A267" s="32">
        <v>517026002</v>
      </c>
      <c r="B267" s="332" t="s">
        <v>145</v>
      </c>
      <c r="C267" s="332">
        <v>12020517</v>
      </c>
      <c r="D267" s="332" t="s">
        <v>412</v>
      </c>
      <c r="E267" s="297">
        <v>138150</v>
      </c>
      <c r="F267" s="114">
        <v>108000</v>
      </c>
      <c r="G267" s="297">
        <v>108000</v>
      </c>
    </row>
    <row r="268" spans="1:7" s="20" customFormat="1">
      <c r="A268" s="32">
        <v>517026002</v>
      </c>
      <c r="B268" s="332" t="s">
        <v>145</v>
      </c>
      <c r="C268" s="332">
        <v>12020521</v>
      </c>
      <c r="D268" s="332" t="s">
        <v>413</v>
      </c>
      <c r="E268" s="297">
        <v>184200</v>
      </c>
      <c r="F268" s="114">
        <v>216000</v>
      </c>
      <c r="G268" s="297">
        <v>216000</v>
      </c>
    </row>
    <row r="269" spans="1:7" s="20" customFormat="1">
      <c r="A269" s="32">
        <v>517026002</v>
      </c>
      <c r="B269" s="332" t="s">
        <v>145</v>
      </c>
      <c r="C269" s="332">
        <v>12020541</v>
      </c>
      <c r="D269" s="332" t="s">
        <v>414</v>
      </c>
      <c r="E269" s="297">
        <v>276300</v>
      </c>
      <c r="F269" s="114">
        <f>324000-164000</f>
        <v>160000</v>
      </c>
      <c r="G269" s="297">
        <f>324000-164000</f>
        <v>160000</v>
      </c>
    </row>
    <row r="270" spans="1:7" s="20" customFormat="1">
      <c r="A270" s="32">
        <v>517026002</v>
      </c>
      <c r="B270" s="332" t="s">
        <v>145</v>
      </c>
      <c r="C270" s="332">
        <v>12020545</v>
      </c>
      <c r="D270" s="332" t="s">
        <v>415</v>
      </c>
      <c r="E270" s="297">
        <v>276300</v>
      </c>
      <c r="F270" s="114">
        <v>324000</v>
      </c>
      <c r="G270" s="297">
        <v>324000</v>
      </c>
    </row>
    <row r="271" spans="1:7" s="20" customFormat="1">
      <c r="A271" s="32">
        <v>517026002</v>
      </c>
      <c r="B271" s="332" t="s">
        <v>145</v>
      </c>
      <c r="C271" s="332">
        <v>12020593</v>
      </c>
      <c r="D271" s="332" t="s">
        <v>416</v>
      </c>
      <c r="E271" s="297">
        <v>414450</v>
      </c>
      <c r="F271" s="114">
        <v>486000</v>
      </c>
      <c r="G271" s="297">
        <v>486000</v>
      </c>
    </row>
    <row r="272" spans="1:7" s="20" customFormat="1">
      <c r="A272" s="32">
        <v>517026002</v>
      </c>
      <c r="B272" s="332" t="s">
        <v>145</v>
      </c>
      <c r="C272" s="332">
        <v>12020614</v>
      </c>
      <c r="D272" s="332" t="s">
        <v>417</v>
      </c>
      <c r="E272" s="297">
        <v>138150</v>
      </c>
      <c r="F272" s="114">
        <v>162000</v>
      </c>
      <c r="G272" s="297">
        <v>162000</v>
      </c>
    </row>
    <row r="273" spans="1:7" s="20" customFormat="1">
      <c r="A273" s="32">
        <v>517026002</v>
      </c>
      <c r="B273" s="332" t="s">
        <v>145</v>
      </c>
      <c r="C273" s="332">
        <v>12040569</v>
      </c>
      <c r="D273" s="332" t="s">
        <v>418</v>
      </c>
      <c r="E273" s="297">
        <v>276300</v>
      </c>
      <c r="F273" s="114">
        <v>324000</v>
      </c>
      <c r="G273" s="297">
        <v>324000</v>
      </c>
    </row>
    <row r="274" spans="1:7" s="20" customFormat="1">
      <c r="A274" s="32">
        <v>517026002</v>
      </c>
      <c r="B274" s="332" t="s">
        <v>145</v>
      </c>
      <c r="C274" s="332">
        <v>12040633</v>
      </c>
      <c r="D274" s="332" t="s">
        <v>419</v>
      </c>
      <c r="E274" s="297">
        <v>138150</v>
      </c>
      <c r="F274" s="114">
        <v>162000</v>
      </c>
      <c r="G274" s="297">
        <v>162000</v>
      </c>
    </row>
    <row r="275" spans="1:7" s="20" customFormat="1">
      <c r="A275" s="32">
        <v>517026002</v>
      </c>
      <c r="B275" s="332" t="s">
        <v>145</v>
      </c>
      <c r="C275" s="332">
        <v>12150010</v>
      </c>
      <c r="D275" s="332" t="s">
        <v>420</v>
      </c>
      <c r="E275" s="297">
        <v>92100</v>
      </c>
      <c r="F275" s="114">
        <v>108000</v>
      </c>
      <c r="G275" s="297">
        <v>108000</v>
      </c>
    </row>
    <row r="276" spans="1:7" s="20" customFormat="1">
      <c r="A276" s="32">
        <v>517026002</v>
      </c>
      <c r="B276" s="332" t="s">
        <v>145</v>
      </c>
      <c r="C276" s="332">
        <v>12150009</v>
      </c>
      <c r="D276" s="332" t="s">
        <v>421</v>
      </c>
      <c r="E276" s="297">
        <v>92100</v>
      </c>
      <c r="F276" s="114">
        <v>108000</v>
      </c>
      <c r="G276" s="297">
        <v>108000</v>
      </c>
    </row>
    <row r="277" spans="1:7" s="66" customFormat="1">
      <c r="A277" s="30"/>
      <c r="B277" s="231"/>
      <c r="C277" s="231"/>
      <c r="D277" s="231" t="s">
        <v>242</v>
      </c>
      <c r="E277" s="114">
        <f>SUM(E264:E276)</f>
        <v>21781650</v>
      </c>
      <c r="F277" s="114">
        <f>SUM(F264:F276)</f>
        <v>25000000</v>
      </c>
      <c r="G277" s="114">
        <f>SUM(G264:G276)</f>
        <v>25000000</v>
      </c>
    </row>
    <row r="278" spans="1:7" s="20" customFormat="1">
      <c r="A278" s="32"/>
      <c r="B278" s="332"/>
      <c r="C278" s="332"/>
      <c r="D278" s="332"/>
      <c r="E278" s="297"/>
      <c r="F278" s="114"/>
      <c r="G278" s="297"/>
    </row>
    <row r="279" spans="1:7" s="20" customFormat="1">
      <c r="A279" s="32"/>
      <c r="B279" s="332"/>
      <c r="C279" s="332"/>
      <c r="D279" s="332"/>
      <c r="E279" s="313"/>
      <c r="F279" s="392"/>
      <c r="G279" s="313"/>
    </row>
    <row r="280" spans="1:7" s="20" customFormat="1">
      <c r="A280" s="32">
        <v>517026003</v>
      </c>
      <c r="B280" s="332" t="s">
        <v>204</v>
      </c>
      <c r="C280" s="332">
        <v>12020463</v>
      </c>
      <c r="D280" s="332" t="s">
        <v>422</v>
      </c>
      <c r="E280" s="297">
        <v>3885000</v>
      </c>
      <c r="F280" s="114">
        <v>5040000</v>
      </c>
      <c r="G280" s="297">
        <v>5040000</v>
      </c>
    </row>
    <row r="281" spans="1:7" s="20" customFormat="1">
      <c r="A281" s="32">
        <v>517026003</v>
      </c>
      <c r="B281" s="332" t="s">
        <v>204</v>
      </c>
      <c r="C281" s="332">
        <v>12020498</v>
      </c>
      <c r="D281" s="332" t="s">
        <v>423</v>
      </c>
      <c r="E281" s="297">
        <v>338100</v>
      </c>
      <c r="F281" s="114">
        <v>331800</v>
      </c>
      <c r="G281" s="297">
        <v>331800</v>
      </c>
    </row>
    <row r="282" spans="1:7" s="20" customFormat="1">
      <c r="A282" s="32">
        <v>517026003</v>
      </c>
      <c r="B282" s="332" t="s">
        <v>204</v>
      </c>
      <c r="C282" s="332">
        <v>12021402</v>
      </c>
      <c r="D282" s="332" t="s">
        <v>424</v>
      </c>
      <c r="E282" s="297">
        <v>338100</v>
      </c>
      <c r="F282" s="114">
        <v>331800</v>
      </c>
      <c r="G282" s="297">
        <v>331800</v>
      </c>
    </row>
    <row r="283" spans="1:7" s="20" customFormat="1">
      <c r="A283" s="32">
        <v>517026003</v>
      </c>
      <c r="B283" s="332" t="s">
        <v>204</v>
      </c>
      <c r="C283" s="332">
        <v>12020481</v>
      </c>
      <c r="D283" s="332" t="s">
        <v>314</v>
      </c>
      <c r="E283" s="297">
        <v>338100</v>
      </c>
      <c r="F283" s="114">
        <v>331800</v>
      </c>
      <c r="G283" s="297">
        <v>331800</v>
      </c>
    </row>
    <row r="284" spans="1:7" s="20" customFormat="1">
      <c r="A284" s="32">
        <v>517026003</v>
      </c>
      <c r="B284" s="332" t="s">
        <v>204</v>
      </c>
      <c r="C284" s="332">
        <v>12020476</v>
      </c>
      <c r="D284" s="332" t="s">
        <v>426</v>
      </c>
      <c r="E284" s="297">
        <v>169050</v>
      </c>
      <c r="F284" s="114">
        <v>165900</v>
      </c>
      <c r="G284" s="297">
        <v>165900</v>
      </c>
    </row>
    <row r="285" spans="1:7" s="20" customFormat="1">
      <c r="A285" s="32">
        <v>517026003</v>
      </c>
      <c r="B285" s="332" t="s">
        <v>204</v>
      </c>
      <c r="C285" s="332">
        <v>12020603</v>
      </c>
      <c r="D285" s="332" t="s">
        <v>427</v>
      </c>
      <c r="E285" s="297">
        <v>33400</v>
      </c>
      <c r="F285" s="114">
        <v>50500</v>
      </c>
      <c r="G285" s="297">
        <v>50500</v>
      </c>
    </row>
    <row r="286" spans="1:7" s="20" customFormat="1">
      <c r="A286" s="32">
        <v>517026003</v>
      </c>
      <c r="B286" s="332" t="s">
        <v>204</v>
      </c>
      <c r="C286" s="332">
        <v>12021369</v>
      </c>
      <c r="D286" s="332" t="s">
        <v>332</v>
      </c>
      <c r="E286" s="297">
        <v>507150</v>
      </c>
      <c r="F286" s="114">
        <f>497700+803600</f>
        <v>1301300</v>
      </c>
      <c r="G286" s="297">
        <f>497700+803600</f>
        <v>1301300</v>
      </c>
    </row>
    <row r="287" spans="1:7" s="20" customFormat="1">
      <c r="A287" s="32">
        <v>517026003</v>
      </c>
      <c r="B287" s="332" t="s">
        <v>204</v>
      </c>
      <c r="C287" s="332">
        <v>12023667</v>
      </c>
      <c r="D287" s="332" t="s">
        <v>428</v>
      </c>
      <c r="E287" s="297">
        <v>338100</v>
      </c>
      <c r="F287" s="114">
        <v>331800</v>
      </c>
      <c r="G287" s="297">
        <v>331800</v>
      </c>
    </row>
    <row r="288" spans="1:7" s="20" customFormat="1">
      <c r="A288" s="32">
        <v>517026003</v>
      </c>
      <c r="B288" s="332" t="s">
        <v>204</v>
      </c>
      <c r="C288" s="332">
        <v>12040569</v>
      </c>
      <c r="D288" s="332" t="s">
        <v>319</v>
      </c>
      <c r="E288" s="297">
        <v>338100</v>
      </c>
      <c r="F288" s="114">
        <v>331800</v>
      </c>
      <c r="G288" s="297">
        <v>331800</v>
      </c>
    </row>
    <row r="289" spans="1:7" s="20" customFormat="1">
      <c r="A289" s="32">
        <v>517026003</v>
      </c>
      <c r="B289" s="332" t="s">
        <v>204</v>
      </c>
      <c r="C289" s="332">
        <v>12020603</v>
      </c>
      <c r="D289" s="332" t="s">
        <v>429</v>
      </c>
      <c r="E289" s="297">
        <v>33400</v>
      </c>
      <c r="F289" s="114">
        <v>50500</v>
      </c>
      <c r="G289" s="297">
        <v>50500</v>
      </c>
    </row>
    <row r="290" spans="1:7" s="20" customFormat="1">
      <c r="A290" s="32">
        <v>517026003</v>
      </c>
      <c r="B290" s="332" t="s">
        <v>204</v>
      </c>
      <c r="C290" s="332">
        <v>12150010</v>
      </c>
      <c r="D290" s="332" t="s">
        <v>321</v>
      </c>
      <c r="E290" s="297">
        <v>33400</v>
      </c>
      <c r="F290" s="114">
        <v>50500</v>
      </c>
      <c r="G290" s="297">
        <v>50500</v>
      </c>
    </row>
    <row r="291" spans="1:7" s="20" customFormat="1">
      <c r="A291" s="32">
        <v>517026003</v>
      </c>
      <c r="B291" s="332" t="s">
        <v>204</v>
      </c>
      <c r="C291" s="332">
        <v>12150009</v>
      </c>
      <c r="D291" s="332" t="s">
        <v>430</v>
      </c>
      <c r="E291" s="297">
        <v>33400</v>
      </c>
      <c r="F291" s="114">
        <v>50500</v>
      </c>
      <c r="G291" s="297">
        <v>50500</v>
      </c>
    </row>
    <row r="292" spans="1:7" s="20" customFormat="1">
      <c r="A292" s="32">
        <v>517026003</v>
      </c>
      <c r="B292" s="332" t="s">
        <v>204</v>
      </c>
      <c r="C292" s="332">
        <v>12040633</v>
      </c>
      <c r="D292" s="332" t="s">
        <v>431</v>
      </c>
      <c r="E292" s="297">
        <v>169050</v>
      </c>
      <c r="F292" s="114">
        <v>165900</v>
      </c>
      <c r="G292" s="297">
        <v>165900</v>
      </c>
    </row>
    <row r="293" spans="1:7" s="20" customFormat="1">
      <c r="A293" s="32">
        <v>517026003</v>
      </c>
      <c r="B293" s="332" t="s">
        <v>204</v>
      </c>
      <c r="C293" s="332">
        <v>12020058</v>
      </c>
      <c r="D293" s="332" t="s">
        <v>322</v>
      </c>
      <c r="E293" s="297">
        <v>169050</v>
      </c>
      <c r="F293" s="114">
        <v>165900</v>
      </c>
      <c r="G293" s="297">
        <v>165900</v>
      </c>
    </row>
    <row r="294" spans="1:7" s="66" customFormat="1">
      <c r="A294" s="30"/>
      <c r="B294" s="231"/>
      <c r="C294" s="231"/>
      <c r="D294" s="231" t="s">
        <v>242</v>
      </c>
      <c r="E294" s="114">
        <f>SUM(E280:E293)</f>
        <v>6723400</v>
      </c>
      <c r="F294" s="114">
        <f>SUM(F280:F293)</f>
        <v>8700000</v>
      </c>
      <c r="G294" s="114">
        <f>SUM(G280:G293)</f>
        <v>8700000</v>
      </c>
    </row>
    <row r="295" spans="1:7" s="20" customFormat="1">
      <c r="A295" s="32"/>
      <c r="B295" s="332"/>
      <c r="C295" s="332"/>
      <c r="D295" s="332"/>
      <c r="E295" s="297"/>
      <c r="F295" s="114"/>
      <c r="G295" s="297"/>
    </row>
    <row r="296" spans="1:7" s="20" customFormat="1">
      <c r="A296" s="32"/>
      <c r="B296" s="332"/>
      <c r="C296" s="332"/>
      <c r="D296" s="332"/>
      <c r="E296" s="297"/>
      <c r="F296" s="114"/>
      <c r="G296" s="297"/>
    </row>
    <row r="297" spans="1:7" s="20" customFormat="1">
      <c r="A297" s="32"/>
      <c r="B297" s="332"/>
      <c r="C297" s="332"/>
      <c r="D297" s="332"/>
      <c r="E297" s="297"/>
      <c r="F297" s="114"/>
      <c r="G297" s="297"/>
    </row>
    <row r="298" spans="1:7" s="20" customFormat="1">
      <c r="A298" s="32">
        <v>517026004</v>
      </c>
      <c r="B298" s="332" t="s">
        <v>144</v>
      </c>
      <c r="C298" s="332">
        <v>12040621</v>
      </c>
      <c r="D298" s="332" t="s">
        <v>432</v>
      </c>
      <c r="E298" s="297">
        <v>28550</v>
      </c>
      <c r="F298" s="114">
        <v>40000</v>
      </c>
      <c r="G298" s="297">
        <v>40000</v>
      </c>
    </row>
    <row r="299" spans="1:7" s="20" customFormat="1">
      <c r="A299" s="32">
        <v>517026004</v>
      </c>
      <c r="B299" s="332" t="s">
        <v>144</v>
      </c>
      <c r="C299" s="332">
        <v>12040604</v>
      </c>
      <c r="D299" s="332" t="s">
        <v>314</v>
      </c>
      <c r="E299" s="297">
        <v>171300</v>
      </c>
      <c r="F299" s="114">
        <v>240000</v>
      </c>
      <c r="G299" s="297">
        <v>240000</v>
      </c>
    </row>
    <row r="300" spans="1:7" s="20" customFormat="1">
      <c r="A300" s="32">
        <v>517026004</v>
      </c>
      <c r="B300" s="332" t="s">
        <v>144</v>
      </c>
      <c r="C300" s="332">
        <v>12040570</v>
      </c>
      <c r="D300" s="332" t="s">
        <v>312</v>
      </c>
      <c r="E300" s="297">
        <v>57100</v>
      </c>
      <c r="F300" s="114">
        <v>80000</v>
      </c>
      <c r="G300" s="297">
        <v>80000</v>
      </c>
    </row>
    <row r="301" spans="1:7" s="20" customFormat="1">
      <c r="A301" s="32">
        <v>517026004</v>
      </c>
      <c r="B301" s="332" t="s">
        <v>144</v>
      </c>
      <c r="C301" s="332">
        <v>12040619</v>
      </c>
      <c r="D301" s="332" t="s">
        <v>433</v>
      </c>
      <c r="E301" s="297">
        <v>114200</v>
      </c>
      <c r="F301" s="114">
        <v>160000</v>
      </c>
      <c r="G301" s="297">
        <v>160000</v>
      </c>
    </row>
    <row r="302" spans="1:7" s="20" customFormat="1">
      <c r="A302" s="32">
        <v>517026004</v>
      </c>
      <c r="B302" s="332" t="s">
        <v>144</v>
      </c>
      <c r="C302" s="332">
        <v>12040040</v>
      </c>
      <c r="D302" s="332" t="s">
        <v>434</v>
      </c>
      <c r="E302" s="297">
        <v>171300</v>
      </c>
      <c r="F302" s="114">
        <v>240000</v>
      </c>
      <c r="G302" s="297">
        <v>240000</v>
      </c>
    </row>
    <row r="303" spans="1:7" s="20" customFormat="1">
      <c r="A303" s="32">
        <v>517026004</v>
      </c>
      <c r="B303" s="332" t="s">
        <v>144</v>
      </c>
      <c r="C303" s="332">
        <v>12040632</v>
      </c>
      <c r="D303" s="332" t="s">
        <v>428</v>
      </c>
      <c r="E303" s="297">
        <v>171300</v>
      </c>
      <c r="F303" s="114">
        <v>240000</v>
      </c>
      <c r="G303" s="297">
        <v>240000</v>
      </c>
    </row>
    <row r="304" spans="1:7" s="20" customFormat="1">
      <c r="A304" s="32">
        <v>517026004</v>
      </c>
      <c r="B304" s="332" t="s">
        <v>144</v>
      </c>
      <c r="C304" s="332">
        <v>12040041</v>
      </c>
      <c r="D304" s="332" t="s">
        <v>435</v>
      </c>
      <c r="E304" s="297">
        <v>256950</v>
      </c>
      <c r="F304" s="114">
        <v>360000</v>
      </c>
      <c r="G304" s="297">
        <v>360000</v>
      </c>
    </row>
    <row r="305" spans="1:7" s="20" customFormat="1">
      <c r="A305" s="32">
        <v>517026004</v>
      </c>
      <c r="B305" s="332" t="s">
        <v>144</v>
      </c>
      <c r="C305" s="332">
        <v>12150010</v>
      </c>
      <c r="D305" s="332" t="s">
        <v>321</v>
      </c>
      <c r="E305" s="297">
        <v>57100</v>
      </c>
      <c r="F305" s="114">
        <v>80000</v>
      </c>
      <c r="G305" s="297">
        <v>80000</v>
      </c>
    </row>
    <row r="306" spans="1:7" s="20" customFormat="1">
      <c r="A306" s="32">
        <v>517026004</v>
      </c>
      <c r="B306" s="332" t="s">
        <v>144</v>
      </c>
      <c r="C306" s="332">
        <v>12150009</v>
      </c>
      <c r="D306" s="332" t="s">
        <v>436</v>
      </c>
      <c r="E306" s="297">
        <v>57100</v>
      </c>
      <c r="F306" s="114">
        <v>80000</v>
      </c>
      <c r="G306" s="297">
        <v>80000</v>
      </c>
    </row>
    <row r="307" spans="1:7" s="20" customFormat="1">
      <c r="A307" s="32">
        <v>517026004</v>
      </c>
      <c r="B307" s="332" t="s">
        <v>144</v>
      </c>
      <c r="C307" s="332">
        <v>12040569</v>
      </c>
      <c r="D307" s="332" t="s">
        <v>319</v>
      </c>
      <c r="E307" s="297">
        <v>171300</v>
      </c>
      <c r="F307" s="114">
        <v>240000</v>
      </c>
      <c r="G307" s="297">
        <v>240000</v>
      </c>
    </row>
    <row r="308" spans="1:7" s="20" customFormat="1">
      <c r="A308" s="32">
        <v>517026004</v>
      </c>
      <c r="B308" s="332" t="s">
        <v>144</v>
      </c>
      <c r="C308" s="332">
        <v>12040637</v>
      </c>
      <c r="D308" s="332" t="s">
        <v>322</v>
      </c>
      <c r="E308" s="297">
        <v>85650</v>
      </c>
      <c r="F308" s="114">
        <v>120000</v>
      </c>
      <c r="G308" s="297">
        <v>120000</v>
      </c>
    </row>
    <row r="309" spans="1:7" s="20" customFormat="1">
      <c r="A309" s="32">
        <v>517026004</v>
      </c>
      <c r="B309" s="332" t="s">
        <v>144</v>
      </c>
      <c r="C309" s="332">
        <v>12040633</v>
      </c>
      <c r="D309" s="332" t="s">
        <v>431</v>
      </c>
      <c r="E309" s="297">
        <v>85650</v>
      </c>
      <c r="F309" s="114">
        <v>120000</v>
      </c>
      <c r="G309" s="297">
        <v>120000</v>
      </c>
    </row>
    <row r="310" spans="1:7" s="66" customFormat="1">
      <c r="A310" s="30"/>
      <c r="B310" s="231"/>
      <c r="C310" s="231"/>
      <c r="D310" s="231"/>
      <c r="E310" s="114">
        <f>SUM(E298:E309)</f>
        <v>1427500</v>
      </c>
      <c r="F310" s="114">
        <f>SUM(F298:F309)</f>
        <v>2000000</v>
      </c>
      <c r="G310" s="114">
        <f>SUM(G298:G309)</f>
        <v>2000000</v>
      </c>
    </row>
    <row r="311" spans="1:7" s="20" customFormat="1">
      <c r="A311" s="32"/>
      <c r="B311" s="332"/>
      <c r="C311" s="332"/>
      <c r="D311" s="332"/>
      <c r="E311" s="297"/>
      <c r="F311" s="114"/>
      <c r="G311" s="297"/>
    </row>
    <row r="312" spans="1:7" s="20" customFormat="1">
      <c r="A312" s="32"/>
      <c r="B312" s="332"/>
      <c r="C312" s="332"/>
      <c r="D312" s="332"/>
      <c r="E312" s="297"/>
      <c r="F312" s="114"/>
      <c r="G312" s="297"/>
    </row>
    <row r="313" spans="1:7" s="20" customFormat="1">
      <c r="A313" s="32">
        <v>517026005</v>
      </c>
      <c r="B313" s="332" t="s">
        <v>143</v>
      </c>
      <c r="C313" s="332">
        <v>12020463</v>
      </c>
      <c r="D313" s="332" t="s">
        <v>437</v>
      </c>
      <c r="E313" s="297">
        <v>2536500</v>
      </c>
      <c r="F313" s="114">
        <v>3129000</v>
      </c>
      <c r="G313" s="297">
        <v>3129000</v>
      </c>
    </row>
    <row r="314" spans="1:7" s="20" customFormat="1">
      <c r="A314" s="32">
        <v>517026005</v>
      </c>
      <c r="B314" s="332" t="s">
        <v>143</v>
      </c>
      <c r="C314" s="332">
        <v>12020498</v>
      </c>
      <c r="D314" s="332" t="s">
        <v>438</v>
      </c>
      <c r="E314" s="297">
        <v>285000</v>
      </c>
      <c r="F314" s="114">
        <v>298167</v>
      </c>
      <c r="G314" s="297">
        <v>298167</v>
      </c>
    </row>
    <row r="315" spans="1:7" s="20" customFormat="1">
      <c r="A315" s="32">
        <v>517026005</v>
      </c>
      <c r="B315" s="332" t="s">
        <v>143</v>
      </c>
      <c r="C315" s="332">
        <v>12040040</v>
      </c>
      <c r="D315" s="332" t="s">
        <v>439</v>
      </c>
      <c r="E315" s="297">
        <v>285000</v>
      </c>
      <c r="F315" s="114">
        <v>298167</v>
      </c>
      <c r="G315" s="297">
        <v>298167</v>
      </c>
    </row>
    <row r="316" spans="1:7" s="20" customFormat="1">
      <c r="A316" s="32">
        <v>517026005</v>
      </c>
      <c r="B316" s="332" t="s">
        <v>143</v>
      </c>
      <c r="C316" s="332">
        <v>12020481</v>
      </c>
      <c r="D316" s="332" t="s">
        <v>425</v>
      </c>
      <c r="E316" s="297">
        <v>285000</v>
      </c>
      <c r="F316" s="114">
        <v>298167</v>
      </c>
      <c r="G316" s="297">
        <v>298167</v>
      </c>
    </row>
    <row r="317" spans="1:7" s="20" customFormat="1">
      <c r="A317" s="32">
        <v>517026005</v>
      </c>
      <c r="B317" s="332" t="s">
        <v>143</v>
      </c>
      <c r="C317" s="332">
        <v>12040461</v>
      </c>
      <c r="D317" s="332" t="s">
        <v>440</v>
      </c>
      <c r="E317" s="297">
        <v>142500</v>
      </c>
      <c r="F317" s="114">
        <v>146750</v>
      </c>
      <c r="G317" s="297">
        <v>146750</v>
      </c>
    </row>
    <row r="318" spans="1:7" s="20" customFormat="1">
      <c r="A318" s="32">
        <v>517026005</v>
      </c>
      <c r="B318" s="332" t="s">
        <v>143</v>
      </c>
      <c r="C318" s="332">
        <v>12040619</v>
      </c>
      <c r="D318" s="332" t="s">
        <v>441</v>
      </c>
      <c r="E318" s="297">
        <v>84000</v>
      </c>
      <c r="F318" s="114">
        <v>92500</v>
      </c>
      <c r="G318" s="297">
        <v>92500</v>
      </c>
    </row>
    <row r="319" spans="1:7" s="20" customFormat="1">
      <c r="A319" s="32">
        <v>517026005</v>
      </c>
      <c r="B319" s="332" t="s">
        <v>143</v>
      </c>
      <c r="C319" s="332">
        <v>12021369</v>
      </c>
      <c r="D319" s="332" t="s">
        <v>442</v>
      </c>
      <c r="E319" s="297">
        <v>142500</v>
      </c>
      <c r="F319" s="114">
        <v>155250</v>
      </c>
      <c r="G319" s="297">
        <v>155250</v>
      </c>
    </row>
    <row r="320" spans="1:7" s="20" customFormat="1">
      <c r="A320" s="32">
        <v>517026005</v>
      </c>
      <c r="B320" s="332" t="s">
        <v>143</v>
      </c>
      <c r="C320" s="332">
        <v>12040632</v>
      </c>
      <c r="D320" s="332" t="s">
        <v>371</v>
      </c>
      <c r="E320" s="297">
        <v>285000</v>
      </c>
      <c r="F320" s="114">
        <v>293500</v>
      </c>
      <c r="G320" s="297">
        <v>293500</v>
      </c>
    </row>
    <row r="321" spans="1:7" s="20" customFormat="1">
      <c r="A321" s="32">
        <v>517026005</v>
      </c>
      <c r="B321" s="332" t="s">
        <v>143</v>
      </c>
      <c r="C321" s="332">
        <v>12040569</v>
      </c>
      <c r="D321" s="332" t="s">
        <v>443</v>
      </c>
      <c r="E321" s="297">
        <v>285000</v>
      </c>
      <c r="F321" s="114">
        <v>293500</v>
      </c>
      <c r="G321" s="297">
        <v>293500</v>
      </c>
    </row>
    <row r="322" spans="1:7" s="20" customFormat="1">
      <c r="A322" s="32">
        <v>517026005</v>
      </c>
      <c r="B322" s="332" t="s">
        <v>143</v>
      </c>
      <c r="C322" s="332">
        <v>12150010</v>
      </c>
      <c r="D322" s="332" t="s">
        <v>444</v>
      </c>
      <c r="E322" s="297">
        <v>42000</v>
      </c>
      <c r="F322" s="114">
        <v>50500</v>
      </c>
      <c r="G322" s="297">
        <v>50500</v>
      </c>
    </row>
    <row r="323" spans="1:7" s="20" customFormat="1">
      <c r="A323" s="32">
        <v>517026005</v>
      </c>
      <c r="B323" s="332" t="s">
        <v>143</v>
      </c>
      <c r="C323" s="332">
        <v>12150019</v>
      </c>
      <c r="D323" s="332" t="s">
        <v>445</v>
      </c>
      <c r="E323" s="297">
        <v>285000</v>
      </c>
      <c r="F323" s="114">
        <v>297750</v>
      </c>
      <c r="G323" s="297">
        <v>297750</v>
      </c>
    </row>
    <row r="324" spans="1:7" s="20" customFormat="1">
      <c r="A324" s="32">
        <v>517026005</v>
      </c>
      <c r="B324" s="332" t="s">
        <v>143</v>
      </c>
      <c r="C324" s="332">
        <v>12040633</v>
      </c>
      <c r="D324" s="332" t="s">
        <v>446</v>
      </c>
      <c r="E324" s="297">
        <v>142500</v>
      </c>
      <c r="F324" s="114">
        <v>146749</v>
      </c>
      <c r="G324" s="297">
        <v>146749</v>
      </c>
    </row>
    <row r="325" spans="1:7" s="66" customFormat="1">
      <c r="A325" s="30"/>
      <c r="B325" s="231"/>
      <c r="C325" s="231"/>
      <c r="D325" s="231" t="s">
        <v>242</v>
      </c>
      <c r="E325" s="114">
        <f>SUM(E313:E324)</f>
        <v>4800000</v>
      </c>
      <c r="F325" s="114">
        <f>SUM(F313:F324)</f>
        <v>5500000</v>
      </c>
      <c r="G325" s="114">
        <f>SUM(G313:G324)</f>
        <v>5500000</v>
      </c>
    </row>
    <row r="326" spans="1:7" s="20" customFormat="1">
      <c r="A326" s="32"/>
      <c r="B326" s="332"/>
      <c r="C326" s="332"/>
      <c r="D326" s="332"/>
      <c r="E326" s="297"/>
      <c r="F326" s="114"/>
      <c r="G326" s="297"/>
    </row>
    <row r="327" spans="1:7" s="20" customFormat="1">
      <c r="A327" s="332"/>
      <c r="B327" s="332"/>
      <c r="C327" s="332"/>
      <c r="D327" s="332"/>
      <c r="E327" s="313"/>
      <c r="F327" s="392"/>
      <c r="G327" s="313"/>
    </row>
    <row r="328" spans="1:7" s="20" customFormat="1">
      <c r="A328" s="32">
        <v>517026006</v>
      </c>
      <c r="B328" s="332" t="s">
        <v>142</v>
      </c>
      <c r="C328" s="332">
        <v>12020463</v>
      </c>
      <c r="D328" s="332" t="s">
        <v>437</v>
      </c>
      <c r="E328" s="297">
        <v>18858000</v>
      </c>
      <c r="F328" s="114">
        <v>19950000</v>
      </c>
      <c r="G328" s="297">
        <v>19950000</v>
      </c>
    </row>
    <row r="329" spans="1:7" s="20" customFormat="1">
      <c r="A329" s="32">
        <v>517026006</v>
      </c>
      <c r="B329" s="332" t="s">
        <v>142</v>
      </c>
      <c r="C329" s="332">
        <v>12020498</v>
      </c>
      <c r="D329" s="332" t="s">
        <v>365</v>
      </c>
      <c r="E329" s="297">
        <v>12000</v>
      </c>
      <c r="F329" s="114">
        <v>13600</v>
      </c>
      <c r="G329" s="297">
        <v>13600</v>
      </c>
    </row>
    <row r="330" spans="1:7" s="20" customFormat="1">
      <c r="A330" s="32">
        <v>517026006</v>
      </c>
      <c r="B330" s="332" t="s">
        <v>142</v>
      </c>
      <c r="C330" s="332">
        <v>12021402</v>
      </c>
      <c r="D330" s="332" t="s">
        <v>439</v>
      </c>
      <c r="E330" s="297">
        <v>269400</v>
      </c>
      <c r="F330" s="114">
        <v>285000</v>
      </c>
      <c r="G330" s="297">
        <v>285000</v>
      </c>
    </row>
    <row r="331" spans="1:7" s="20" customFormat="1">
      <c r="A331" s="32">
        <v>517026006</v>
      </c>
      <c r="B331" s="332" t="s">
        <v>142</v>
      </c>
      <c r="C331" s="332">
        <v>12020481</v>
      </c>
      <c r="D331" s="332" t="s">
        <v>447</v>
      </c>
      <c r="E331" s="297">
        <v>269400</v>
      </c>
      <c r="F331" s="114">
        <v>285000</v>
      </c>
      <c r="G331" s="297">
        <v>285000</v>
      </c>
    </row>
    <row r="332" spans="1:7" s="20" customFormat="1">
      <c r="A332" s="32">
        <v>517026006</v>
      </c>
      <c r="B332" s="332" t="s">
        <v>142</v>
      </c>
      <c r="C332" s="332">
        <v>12020476</v>
      </c>
      <c r="D332" s="332" t="s">
        <v>448</v>
      </c>
      <c r="E332" s="297">
        <v>12000</v>
      </c>
      <c r="F332" s="114">
        <v>13600</v>
      </c>
      <c r="G332" s="297">
        <v>13600</v>
      </c>
    </row>
    <row r="333" spans="1:7" s="20" customFormat="1">
      <c r="A333" s="32">
        <v>517026006</v>
      </c>
      <c r="B333" s="332" t="s">
        <v>142</v>
      </c>
      <c r="C333" s="332">
        <v>12020603</v>
      </c>
      <c r="D333" s="332" t="s">
        <v>449</v>
      </c>
      <c r="E333" s="297">
        <v>113800</v>
      </c>
      <c r="F333" s="114">
        <v>122200</v>
      </c>
      <c r="G333" s="297">
        <v>122200</v>
      </c>
    </row>
    <row r="334" spans="1:7" s="20" customFormat="1">
      <c r="A334" s="32">
        <v>517026006</v>
      </c>
      <c r="B334" s="332" t="s">
        <v>142</v>
      </c>
      <c r="C334" s="332">
        <v>12021369</v>
      </c>
      <c r="D334" s="332" t="s">
        <v>442</v>
      </c>
      <c r="E334" s="297">
        <v>404100</v>
      </c>
      <c r="F334" s="114">
        <f>427500-19900</f>
        <v>407600</v>
      </c>
      <c r="G334" s="297">
        <f>427500-19900</f>
        <v>407600</v>
      </c>
    </row>
    <row r="335" spans="1:7" s="20" customFormat="1">
      <c r="A335" s="32">
        <v>517026006</v>
      </c>
      <c r="B335" s="332" t="s">
        <v>142</v>
      </c>
      <c r="C335" s="332">
        <v>12023667</v>
      </c>
      <c r="D335" s="332" t="s">
        <v>414</v>
      </c>
      <c r="E335" s="297">
        <v>269400</v>
      </c>
      <c r="F335" s="114">
        <v>285000</v>
      </c>
      <c r="G335" s="297">
        <v>285000</v>
      </c>
    </row>
    <row r="336" spans="1:7" s="20" customFormat="1">
      <c r="A336" s="32">
        <v>517026006</v>
      </c>
      <c r="B336" s="332" t="s">
        <v>142</v>
      </c>
      <c r="C336" s="332">
        <v>12027497</v>
      </c>
      <c r="D336" s="332" t="s">
        <v>450</v>
      </c>
      <c r="E336" s="297">
        <v>134700</v>
      </c>
      <c r="F336" s="114">
        <v>142500</v>
      </c>
      <c r="G336" s="297">
        <v>142500</v>
      </c>
    </row>
    <row r="337" spans="1:7" s="20" customFormat="1">
      <c r="A337" s="32">
        <v>517026006</v>
      </c>
      <c r="B337" s="332" t="s">
        <v>142</v>
      </c>
      <c r="C337" s="332">
        <v>12040633</v>
      </c>
      <c r="D337" s="332" t="s">
        <v>451</v>
      </c>
      <c r="E337" s="297">
        <v>134700</v>
      </c>
      <c r="F337" s="114">
        <v>142500</v>
      </c>
      <c r="G337" s="297">
        <v>142500</v>
      </c>
    </row>
    <row r="338" spans="1:7" s="20" customFormat="1">
      <c r="A338" s="32">
        <v>517026006</v>
      </c>
      <c r="B338" s="332" t="s">
        <v>142</v>
      </c>
      <c r="C338" s="332">
        <v>12150010</v>
      </c>
      <c r="D338" s="332" t="s">
        <v>452</v>
      </c>
      <c r="E338" s="297">
        <v>24000</v>
      </c>
      <c r="F338" s="114">
        <v>27200</v>
      </c>
      <c r="G338" s="297">
        <v>27200</v>
      </c>
    </row>
    <row r="339" spans="1:7" s="20" customFormat="1">
      <c r="A339" s="32">
        <v>517026006</v>
      </c>
      <c r="B339" s="332" t="s">
        <v>142</v>
      </c>
      <c r="C339" s="332">
        <v>12150009</v>
      </c>
      <c r="D339" s="332" t="s">
        <v>453</v>
      </c>
      <c r="E339" s="297">
        <v>36000</v>
      </c>
      <c r="F339" s="114">
        <v>40800</v>
      </c>
      <c r="G339" s="297">
        <v>40800</v>
      </c>
    </row>
    <row r="340" spans="1:7" s="20" customFormat="1">
      <c r="A340" s="32">
        <v>517026006</v>
      </c>
      <c r="B340" s="332" t="s">
        <v>142</v>
      </c>
      <c r="C340" s="332">
        <v>12040569</v>
      </c>
      <c r="D340" s="332" t="s">
        <v>418</v>
      </c>
      <c r="E340" s="297">
        <v>269400</v>
      </c>
      <c r="F340" s="114">
        <v>285000</v>
      </c>
      <c r="G340" s="297">
        <v>285000</v>
      </c>
    </row>
    <row r="341" spans="1:7" s="66" customFormat="1">
      <c r="A341" s="30"/>
      <c r="B341" s="231"/>
      <c r="C341" s="231"/>
      <c r="D341" s="231" t="s">
        <v>454</v>
      </c>
      <c r="E341" s="114">
        <f>SUM(E328:E340)</f>
        <v>20806900</v>
      </c>
      <c r="F341" s="114">
        <f>SUM(F328:F340)</f>
        <v>22000000</v>
      </c>
      <c r="G341" s="114">
        <f>SUM(G328:G340)</f>
        <v>22000000</v>
      </c>
    </row>
    <row r="342" spans="1:7" s="20" customFormat="1">
      <c r="A342" s="32"/>
      <c r="B342" s="332"/>
      <c r="C342" s="332"/>
      <c r="D342" s="332"/>
      <c r="E342" s="297"/>
      <c r="F342" s="114"/>
      <c r="G342" s="297"/>
    </row>
    <row r="343" spans="1:7" s="20" customFormat="1">
      <c r="A343" s="32"/>
      <c r="B343" s="332"/>
      <c r="C343" s="332"/>
      <c r="D343" s="332"/>
      <c r="E343" s="313"/>
      <c r="F343" s="392"/>
      <c r="G343" s="313"/>
    </row>
    <row r="344" spans="1:7" s="20" customFormat="1" ht="30">
      <c r="A344" s="32">
        <v>517026007</v>
      </c>
      <c r="B344" s="332" t="s">
        <v>141</v>
      </c>
      <c r="C344" s="332">
        <v>12040040</v>
      </c>
      <c r="D344" s="332" t="s">
        <v>455</v>
      </c>
      <c r="E344" s="297">
        <v>750600</v>
      </c>
      <c r="F344" s="114">
        <v>280000</v>
      </c>
      <c r="G344" s="297">
        <v>280000</v>
      </c>
    </row>
    <row r="345" spans="1:7" s="20" customFormat="1" ht="30">
      <c r="A345" s="32">
        <v>517026007</v>
      </c>
      <c r="B345" s="332" t="s">
        <v>141</v>
      </c>
      <c r="C345" s="332">
        <v>12040316</v>
      </c>
      <c r="D345" s="332" t="s">
        <v>456</v>
      </c>
      <c r="E345" s="297">
        <v>751500</v>
      </c>
      <c r="F345" s="114">
        <v>280000</v>
      </c>
      <c r="G345" s="297">
        <v>280000</v>
      </c>
    </row>
    <row r="346" spans="1:7" s="20" customFormat="1" ht="30">
      <c r="A346" s="32">
        <v>517026007</v>
      </c>
      <c r="B346" s="332" t="s">
        <v>141</v>
      </c>
      <c r="C346" s="332">
        <v>12040570</v>
      </c>
      <c r="D346" s="332" t="s">
        <v>457</v>
      </c>
      <c r="E346" s="297">
        <v>774000</v>
      </c>
      <c r="F346" s="114">
        <v>280000</v>
      </c>
      <c r="G346" s="297">
        <v>280000</v>
      </c>
    </row>
    <row r="347" spans="1:7" s="20" customFormat="1" ht="30">
      <c r="A347" s="32">
        <v>517026007</v>
      </c>
      <c r="B347" s="332" t="s">
        <v>141</v>
      </c>
      <c r="C347" s="332">
        <v>12040604</v>
      </c>
      <c r="D347" s="332" t="s">
        <v>314</v>
      </c>
      <c r="E347" s="297" t="s">
        <v>304</v>
      </c>
      <c r="F347" s="114">
        <v>280000</v>
      </c>
      <c r="G347" s="297">
        <v>280000</v>
      </c>
    </row>
    <row r="348" spans="1:7" s="20" customFormat="1" ht="30">
      <c r="A348" s="32">
        <v>517026007</v>
      </c>
      <c r="B348" s="332" t="s">
        <v>141</v>
      </c>
      <c r="C348" s="332">
        <v>12040619</v>
      </c>
      <c r="D348" s="332" t="s">
        <v>458</v>
      </c>
      <c r="E348" s="297" t="s">
        <v>304</v>
      </c>
      <c r="F348" s="114">
        <v>35000</v>
      </c>
      <c r="G348" s="297">
        <v>35000</v>
      </c>
    </row>
    <row r="349" spans="1:7" s="20" customFormat="1" ht="30">
      <c r="A349" s="32">
        <v>517026007</v>
      </c>
      <c r="B349" s="332" t="s">
        <v>141</v>
      </c>
      <c r="C349" s="332">
        <v>12040621</v>
      </c>
      <c r="D349" s="393" t="s">
        <v>459</v>
      </c>
      <c r="E349" s="297" t="s">
        <v>304</v>
      </c>
      <c r="F349" s="114">
        <v>150000</v>
      </c>
      <c r="G349" s="297">
        <v>150000</v>
      </c>
    </row>
    <row r="350" spans="1:7" s="20" customFormat="1" ht="30">
      <c r="A350" s="32">
        <v>517026007</v>
      </c>
      <c r="B350" s="332" t="s">
        <v>141</v>
      </c>
      <c r="C350" s="332">
        <v>12150010</v>
      </c>
      <c r="D350" s="332" t="s">
        <v>460</v>
      </c>
      <c r="E350" s="297" t="s">
        <v>304</v>
      </c>
      <c r="F350" s="114">
        <v>35000</v>
      </c>
      <c r="G350" s="297">
        <v>35000</v>
      </c>
    </row>
    <row r="351" spans="1:7" s="20" customFormat="1" ht="30">
      <c r="A351" s="32">
        <v>517026007</v>
      </c>
      <c r="B351" s="332" t="s">
        <v>141</v>
      </c>
      <c r="C351" s="332">
        <v>12150009</v>
      </c>
      <c r="D351" s="332" t="s">
        <v>461</v>
      </c>
      <c r="E351" s="297" t="s">
        <v>304</v>
      </c>
      <c r="F351" s="114">
        <v>35000</v>
      </c>
      <c r="G351" s="297">
        <v>35000</v>
      </c>
    </row>
    <row r="352" spans="1:7" s="20" customFormat="1" ht="30">
      <c r="A352" s="32">
        <v>517026007</v>
      </c>
      <c r="B352" s="332" t="s">
        <v>141</v>
      </c>
      <c r="C352" s="332">
        <v>12040633</v>
      </c>
      <c r="D352" s="332" t="s">
        <v>462</v>
      </c>
      <c r="E352" s="297" t="s">
        <v>304</v>
      </c>
      <c r="F352" s="114">
        <v>280000</v>
      </c>
      <c r="G352" s="297">
        <v>280000</v>
      </c>
    </row>
    <row r="353" spans="1:7" s="20" customFormat="1" ht="30">
      <c r="A353" s="32">
        <v>517026007</v>
      </c>
      <c r="B353" s="332" t="s">
        <v>141</v>
      </c>
      <c r="C353" s="332">
        <v>12027497</v>
      </c>
      <c r="D353" s="332" t="s">
        <v>1775</v>
      </c>
      <c r="E353" s="297" t="s">
        <v>304</v>
      </c>
      <c r="F353" s="114">
        <v>150000</v>
      </c>
      <c r="G353" s="297">
        <v>150000</v>
      </c>
    </row>
    <row r="354" spans="1:7" s="20" customFormat="1" ht="30">
      <c r="A354" s="32">
        <v>517026007</v>
      </c>
      <c r="B354" s="332" t="s">
        <v>141</v>
      </c>
      <c r="C354" s="332">
        <v>12040569</v>
      </c>
      <c r="D354" s="332" t="s">
        <v>463</v>
      </c>
      <c r="E354" s="297" t="s">
        <v>304</v>
      </c>
      <c r="F354" s="114">
        <v>280000</v>
      </c>
      <c r="G354" s="297">
        <v>280000</v>
      </c>
    </row>
    <row r="355" spans="1:7" s="20" customFormat="1" ht="30">
      <c r="A355" s="32">
        <v>517026007</v>
      </c>
      <c r="B355" s="332" t="s">
        <v>141</v>
      </c>
      <c r="C355" s="332">
        <v>12021369</v>
      </c>
      <c r="D355" s="332" t="s">
        <v>1774</v>
      </c>
      <c r="E355" s="297" t="s">
        <v>304</v>
      </c>
      <c r="F355" s="114">
        <v>415000</v>
      </c>
      <c r="G355" s="297">
        <v>415000</v>
      </c>
    </row>
    <row r="356" spans="1:7" s="66" customFormat="1">
      <c r="A356" s="30"/>
      <c r="B356" s="231"/>
      <c r="C356" s="30"/>
      <c r="D356" s="231" t="s">
        <v>242</v>
      </c>
      <c r="E356" s="114">
        <f>SUM(E344:E355)</f>
        <v>2276100</v>
      </c>
      <c r="F356" s="114">
        <f>SUM(F344:F355)</f>
        <v>2500000</v>
      </c>
      <c r="G356" s="114">
        <f>SUM(G344:G355)</f>
        <v>2500000</v>
      </c>
    </row>
    <row r="357" spans="1:7" s="20" customFormat="1">
      <c r="A357" s="32"/>
      <c r="B357" s="332"/>
      <c r="C357" s="332"/>
      <c r="D357" s="332"/>
      <c r="E357" s="297"/>
      <c r="F357" s="114"/>
      <c r="G357" s="297"/>
    </row>
    <row r="358" spans="1:7" s="20" customFormat="1">
      <c r="A358" s="32"/>
      <c r="B358" s="332"/>
      <c r="C358" s="332"/>
      <c r="D358" s="332"/>
      <c r="E358" s="297"/>
      <c r="F358" s="114"/>
      <c r="G358" s="297"/>
    </row>
    <row r="359" spans="1:7" s="20" customFormat="1" ht="30">
      <c r="A359" s="32">
        <v>517028008</v>
      </c>
      <c r="B359" s="332" t="s">
        <v>140</v>
      </c>
      <c r="C359" s="388">
        <v>1204526</v>
      </c>
      <c r="D359" s="332" t="s">
        <v>1776</v>
      </c>
      <c r="E359" s="297">
        <v>4704000</v>
      </c>
      <c r="F359" s="114">
        <v>5880000</v>
      </c>
      <c r="G359" s="297">
        <v>5880000</v>
      </c>
    </row>
    <row r="360" spans="1:7" s="20" customFormat="1" ht="30">
      <c r="A360" s="32">
        <v>517028008</v>
      </c>
      <c r="B360" s="332" t="s">
        <v>140</v>
      </c>
      <c r="C360" s="388">
        <v>12040570</v>
      </c>
      <c r="D360" s="332" t="s">
        <v>464</v>
      </c>
      <c r="E360" s="297">
        <v>3250</v>
      </c>
      <c r="F360" s="114">
        <v>6000</v>
      </c>
      <c r="G360" s="297">
        <v>6000</v>
      </c>
    </row>
    <row r="361" spans="1:7" s="20" customFormat="1" ht="30">
      <c r="A361" s="32">
        <v>517028008</v>
      </c>
      <c r="B361" s="332" t="s">
        <v>140</v>
      </c>
      <c r="C361" s="388">
        <v>12040604</v>
      </c>
      <c r="D361" s="332" t="s">
        <v>424</v>
      </c>
      <c r="E361" s="297">
        <v>67200</v>
      </c>
      <c r="F361" s="114">
        <v>84000</v>
      </c>
      <c r="G361" s="297">
        <v>84000</v>
      </c>
    </row>
    <row r="362" spans="1:7" s="20" customFormat="1" ht="30">
      <c r="A362" s="32">
        <v>517028008</v>
      </c>
      <c r="B362" s="332" t="s">
        <v>140</v>
      </c>
      <c r="C362" s="388">
        <v>1204527</v>
      </c>
      <c r="D362" s="332" t="s">
        <v>465</v>
      </c>
      <c r="E362" s="297">
        <v>67200</v>
      </c>
      <c r="F362" s="114">
        <v>84000</v>
      </c>
      <c r="G362" s="297">
        <v>84000</v>
      </c>
    </row>
    <row r="363" spans="1:7" s="20" customFormat="1" ht="30">
      <c r="A363" s="32">
        <v>517028008</v>
      </c>
      <c r="B363" s="332" t="s">
        <v>140</v>
      </c>
      <c r="C363" s="388">
        <v>12040611</v>
      </c>
      <c r="D363" s="332" t="s">
        <v>466</v>
      </c>
      <c r="E363" s="297">
        <v>3250</v>
      </c>
      <c r="F363" s="114">
        <v>42000</v>
      </c>
      <c r="G363" s="297">
        <v>42000</v>
      </c>
    </row>
    <row r="364" spans="1:7" s="20" customFormat="1" ht="30">
      <c r="A364" s="32">
        <v>517028008</v>
      </c>
      <c r="B364" s="332" t="s">
        <v>140</v>
      </c>
      <c r="C364" s="388">
        <v>12040619</v>
      </c>
      <c r="D364" s="332" t="s">
        <v>1777</v>
      </c>
      <c r="E364" s="297">
        <v>28900</v>
      </c>
      <c r="F364" s="114">
        <v>12000</v>
      </c>
      <c r="G364" s="297">
        <v>12000</v>
      </c>
    </row>
    <row r="365" spans="1:7" s="20" customFormat="1" ht="30">
      <c r="A365" s="32">
        <v>517028008</v>
      </c>
      <c r="B365" s="332" t="s">
        <v>140</v>
      </c>
      <c r="C365" s="388">
        <v>12040619</v>
      </c>
      <c r="D365" s="332" t="s">
        <v>467</v>
      </c>
      <c r="E365" s="297"/>
      <c r="F365" s="114">
        <v>12000</v>
      </c>
      <c r="G365" s="297">
        <v>12000</v>
      </c>
    </row>
    <row r="366" spans="1:7" s="20" customFormat="1" ht="30">
      <c r="A366" s="32">
        <v>517028008</v>
      </c>
      <c r="B366" s="332" t="s">
        <v>140</v>
      </c>
      <c r="C366" s="388">
        <v>12040641</v>
      </c>
      <c r="D366" s="332" t="s">
        <v>332</v>
      </c>
      <c r="E366" s="297">
        <v>100800</v>
      </c>
      <c r="F366" s="114">
        <v>126000</v>
      </c>
      <c r="G366" s="297">
        <v>126000</v>
      </c>
    </row>
    <row r="367" spans="1:7" s="20" customFormat="1" ht="30">
      <c r="A367" s="32">
        <v>517028008</v>
      </c>
      <c r="B367" s="332" t="s">
        <v>140</v>
      </c>
      <c r="C367" s="388">
        <v>12040632</v>
      </c>
      <c r="D367" s="332" t="s">
        <v>468</v>
      </c>
      <c r="E367" s="297">
        <v>67200</v>
      </c>
      <c r="F367" s="114">
        <v>84000</v>
      </c>
      <c r="G367" s="297">
        <v>84000</v>
      </c>
    </row>
    <row r="368" spans="1:7" s="20" customFormat="1" ht="30">
      <c r="A368" s="32">
        <v>517028008</v>
      </c>
      <c r="B368" s="332" t="s">
        <v>140</v>
      </c>
      <c r="C368" s="388">
        <v>12040641</v>
      </c>
      <c r="D368" s="332" t="s">
        <v>469</v>
      </c>
      <c r="E368" s="297">
        <v>33600</v>
      </c>
      <c r="F368" s="114">
        <v>42000</v>
      </c>
      <c r="G368" s="297">
        <v>42000</v>
      </c>
    </row>
    <row r="369" spans="1:7" s="20" customFormat="1" ht="30">
      <c r="A369" s="32">
        <v>517028008</v>
      </c>
      <c r="B369" s="332" t="s">
        <v>140</v>
      </c>
      <c r="C369" s="388">
        <v>12150010</v>
      </c>
      <c r="D369" s="332" t="s">
        <v>470</v>
      </c>
      <c r="E369" s="297">
        <v>6500</v>
      </c>
      <c r="F369" s="114">
        <v>12000</v>
      </c>
      <c r="G369" s="297">
        <v>12000</v>
      </c>
    </row>
    <row r="370" spans="1:7" s="20" customFormat="1" ht="30">
      <c r="A370" s="32">
        <v>517028008</v>
      </c>
      <c r="B370" s="332" t="s">
        <v>140</v>
      </c>
      <c r="C370" s="388">
        <v>12150009</v>
      </c>
      <c r="D370" s="332" t="s">
        <v>471</v>
      </c>
      <c r="E370" s="297">
        <v>9750</v>
      </c>
      <c r="F370" s="114">
        <v>18000</v>
      </c>
      <c r="G370" s="297">
        <v>18000</v>
      </c>
    </row>
    <row r="371" spans="1:7" s="20" customFormat="1" ht="30">
      <c r="A371" s="32">
        <v>517028008</v>
      </c>
      <c r="B371" s="332" t="s">
        <v>140</v>
      </c>
      <c r="C371" s="332">
        <v>12040569</v>
      </c>
      <c r="D371" s="332" t="s">
        <v>463</v>
      </c>
      <c r="E371" s="297">
        <v>67200</v>
      </c>
      <c r="F371" s="114">
        <v>84000</v>
      </c>
      <c r="G371" s="297">
        <v>84000</v>
      </c>
    </row>
    <row r="372" spans="1:7" s="20" customFormat="1" ht="30">
      <c r="A372" s="32">
        <v>517028008</v>
      </c>
      <c r="B372" s="332" t="s">
        <v>140</v>
      </c>
      <c r="C372" s="332">
        <v>12040633</v>
      </c>
      <c r="D372" s="332" t="s">
        <v>462</v>
      </c>
      <c r="E372" s="297">
        <v>33600</v>
      </c>
      <c r="F372" s="114">
        <v>42000</v>
      </c>
      <c r="G372" s="297">
        <v>42000</v>
      </c>
    </row>
    <row r="373" spans="1:7" s="66" customFormat="1">
      <c r="A373" s="30"/>
      <c r="B373" s="231"/>
      <c r="C373" s="231"/>
      <c r="D373" s="231" t="s">
        <v>242</v>
      </c>
      <c r="E373" s="114">
        <f>SUM(E359:E372)</f>
        <v>5192450</v>
      </c>
      <c r="F373" s="114">
        <v>6528000</v>
      </c>
      <c r="G373" s="114">
        <v>6528000</v>
      </c>
    </row>
    <row r="374" spans="1:7" s="20" customFormat="1">
      <c r="A374" s="32"/>
      <c r="B374" s="332"/>
      <c r="C374" s="332"/>
      <c r="D374" s="332"/>
      <c r="E374" s="297"/>
      <c r="F374" s="114"/>
      <c r="G374" s="297"/>
    </row>
    <row r="375" spans="1:7" s="20" customFormat="1">
      <c r="A375" s="32"/>
      <c r="B375" s="332"/>
      <c r="C375" s="332"/>
      <c r="D375" s="332"/>
      <c r="E375" s="313"/>
      <c r="F375" s="392"/>
      <c r="G375" s="313"/>
    </row>
    <row r="376" spans="1:7" s="20" customFormat="1">
      <c r="A376" s="32">
        <v>517026009</v>
      </c>
      <c r="B376" s="332" t="s">
        <v>139</v>
      </c>
      <c r="C376" s="332">
        <v>12020481</v>
      </c>
      <c r="D376" s="332" t="s">
        <v>314</v>
      </c>
      <c r="E376" s="297">
        <v>184500</v>
      </c>
      <c r="F376" s="28">
        <v>204000</v>
      </c>
      <c r="G376" s="297">
        <v>204000</v>
      </c>
    </row>
    <row r="377" spans="1:7" s="20" customFormat="1">
      <c r="A377" s="32">
        <v>517026009</v>
      </c>
      <c r="B377" s="332" t="s">
        <v>139</v>
      </c>
      <c r="C377" s="332">
        <v>12023667</v>
      </c>
      <c r="D377" s="332" t="s">
        <v>472</v>
      </c>
      <c r="E377" s="297">
        <v>184500</v>
      </c>
      <c r="F377" s="28">
        <v>204000</v>
      </c>
      <c r="G377" s="297">
        <v>204000</v>
      </c>
    </row>
    <row r="378" spans="1:7" s="20" customFormat="1">
      <c r="A378" s="32">
        <v>517026009</v>
      </c>
      <c r="B378" s="332" t="s">
        <v>139</v>
      </c>
      <c r="C378" s="332">
        <v>12021402</v>
      </c>
      <c r="D378" s="332" t="s">
        <v>313</v>
      </c>
      <c r="E378" s="297">
        <v>184500</v>
      </c>
      <c r="F378" s="28">
        <f>204000-70000+54500</f>
        <v>188500</v>
      </c>
      <c r="G378" s="297">
        <f>204000-70000+54500</f>
        <v>188500</v>
      </c>
    </row>
    <row r="379" spans="1:7" s="20" customFormat="1">
      <c r="A379" s="32">
        <v>517026009</v>
      </c>
      <c r="B379" s="332" t="s">
        <v>139</v>
      </c>
      <c r="C379" s="332">
        <v>12040041</v>
      </c>
      <c r="D379" s="332" t="s">
        <v>473</v>
      </c>
      <c r="E379" s="297">
        <v>276750</v>
      </c>
      <c r="F379" s="28">
        <v>306000</v>
      </c>
      <c r="G379" s="297">
        <v>306000</v>
      </c>
    </row>
    <row r="380" spans="1:7" s="20" customFormat="1">
      <c r="A380" s="32">
        <v>517026009</v>
      </c>
      <c r="B380" s="332" t="s">
        <v>139</v>
      </c>
      <c r="C380" s="332">
        <v>1204569</v>
      </c>
      <c r="D380" s="332" t="s">
        <v>319</v>
      </c>
      <c r="E380" s="297">
        <v>184500</v>
      </c>
      <c r="F380" s="28">
        <v>204000</v>
      </c>
      <c r="G380" s="297">
        <v>204000</v>
      </c>
    </row>
    <row r="381" spans="1:7" s="20" customFormat="1">
      <c r="A381" s="32">
        <v>517026009</v>
      </c>
      <c r="B381" s="332" t="s">
        <v>139</v>
      </c>
      <c r="C381" s="332">
        <v>12040633</v>
      </c>
      <c r="D381" s="332" t="s">
        <v>431</v>
      </c>
      <c r="E381" s="297">
        <v>92250</v>
      </c>
      <c r="F381" s="28">
        <v>102000</v>
      </c>
      <c r="G381" s="297">
        <v>102000</v>
      </c>
    </row>
    <row r="382" spans="1:7" s="20" customFormat="1">
      <c r="A382" s="32">
        <v>517026009</v>
      </c>
      <c r="B382" s="332" t="s">
        <v>139</v>
      </c>
      <c r="C382" s="332">
        <v>12040058</v>
      </c>
      <c r="D382" s="332" t="s">
        <v>322</v>
      </c>
      <c r="E382" s="297">
        <v>92250</v>
      </c>
      <c r="F382" s="28">
        <v>102000</v>
      </c>
      <c r="G382" s="297">
        <v>102000</v>
      </c>
    </row>
    <row r="383" spans="1:7" s="20" customFormat="1">
      <c r="A383" s="32">
        <v>517026009</v>
      </c>
      <c r="B383" s="332" t="s">
        <v>139</v>
      </c>
      <c r="C383" s="332">
        <v>12020498</v>
      </c>
      <c r="D383" s="332" t="s">
        <v>312</v>
      </c>
      <c r="E383" s="297">
        <v>32500</v>
      </c>
      <c r="F383" s="28">
        <v>27000</v>
      </c>
      <c r="G383" s="297">
        <v>27000</v>
      </c>
    </row>
    <row r="384" spans="1:7" s="20" customFormat="1">
      <c r="A384" s="32">
        <v>517026009</v>
      </c>
      <c r="B384" s="332" t="s">
        <v>139</v>
      </c>
      <c r="C384" s="332">
        <v>12020603</v>
      </c>
      <c r="D384" s="332" t="s">
        <v>474</v>
      </c>
      <c r="E384" s="297">
        <v>94000</v>
      </c>
      <c r="F384" s="28">
        <v>27000</v>
      </c>
      <c r="G384" s="297">
        <v>27000</v>
      </c>
    </row>
    <row r="385" spans="1:7" s="20" customFormat="1">
      <c r="A385" s="32">
        <v>517026009</v>
      </c>
      <c r="B385" s="332" t="s">
        <v>139</v>
      </c>
      <c r="C385" s="332">
        <v>12020472</v>
      </c>
      <c r="D385" s="332" t="s">
        <v>475</v>
      </c>
      <c r="E385" s="297">
        <v>16250</v>
      </c>
      <c r="F385" s="28">
        <v>13500</v>
      </c>
      <c r="G385" s="297">
        <v>13500</v>
      </c>
    </row>
    <row r="386" spans="1:7" s="20" customFormat="1">
      <c r="A386" s="32">
        <v>517026009</v>
      </c>
      <c r="B386" s="332" t="s">
        <v>139</v>
      </c>
      <c r="C386" s="332">
        <v>12040659</v>
      </c>
      <c r="D386" s="332" t="s">
        <v>476</v>
      </c>
      <c r="E386" s="297">
        <v>32500</v>
      </c>
      <c r="F386" s="28">
        <v>27000</v>
      </c>
      <c r="G386" s="297">
        <v>27000</v>
      </c>
    </row>
    <row r="387" spans="1:7" s="20" customFormat="1">
      <c r="A387" s="32">
        <v>517026009</v>
      </c>
      <c r="B387" s="332" t="s">
        <v>139</v>
      </c>
      <c r="C387" s="332">
        <v>12040660</v>
      </c>
      <c r="D387" s="332" t="s">
        <v>477</v>
      </c>
      <c r="E387" s="297">
        <v>32500</v>
      </c>
      <c r="F387" s="28">
        <v>27000</v>
      </c>
      <c r="G387" s="297">
        <v>27000</v>
      </c>
    </row>
    <row r="388" spans="1:7" s="20" customFormat="1">
      <c r="A388" s="32">
        <v>517026009</v>
      </c>
      <c r="B388" s="332" t="s">
        <v>139</v>
      </c>
      <c r="C388" s="332">
        <v>12020603</v>
      </c>
      <c r="D388" s="332" t="s">
        <v>478</v>
      </c>
      <c r="E388" s="297">
        <v>0</v>
      </c>
      <c r="F388" s="28">
        <v>68000</v>
      </c>
      <c r="G388" s="297">
        <v>68000</v>
      </c>
    </row>
    <row r="389" spans="1:7" s="66" customFormat="1">
      <c r="A389" s="30"/>
      <c r="B389" s="231"/>
      <c r="C389" s="231"/>
      <c r="D389" s="231" t="s">
        <v>242</v>
      </c>
      <c r="E389" s="114">
        <f>SUM(E376:E388)</f>
        <v>1407000</v>
      </c>
      <c r="F389" s="114">
        <f>SUM(F376:F388)</f>
        <v>1500000</v>
      </c>
      <c r="G389" s="114">
        <f>SUM(G376:G388)</f>
        <v>1500000</v>
      </c>
    </row>
    <row r="390" spans="1:7" s="20" customFormat="1">
      <c r="A390" s="32"/>
      <c r="B390" s="332"/>
      <c r="C390" s="332"/>
      <c r="D390" s="332"/>
      <c r="E390" s="297"/>
      <c r="F390" s="114"/>
      <c r="G390" s="297"/>
    </row>
    <row r="391" spans="1:7" s="20" customFormat="1">
      <c r="A391" s="332"/>
      <c r="B391" s="332"/>
      <c r="C391" s="332"/>
      <c r="D391" s="332"/>
      <c r="E391" s="313"/>
      <c r="F391" s="392"/>
      <c r="G391" s="313"/>
    </row>
    <row r="392" spans="1:7" s="20" customFormat="1">
      <c r="A392" s="32">
        <v>5179026010</v>
      </c>
      <c r="B392" s="332" t="s">
        <v>205</v>
      </c>
      <c r="C392" s="332">
        <v>1204526</v>
      </c>
      <c r="D392" s="332" t="s">
        <v>437</v>
      </c>
      <c r="E392" s="394">
        <v>10500000</v>
      </c>
      <c r="F392" s="114">
        <v>10887000</v>
      </c>
      <c r="G392" s="297">
        <v>10887000</v>
      </c>
    </row>
    <row r="393" spans="1:7" s="20" customFormat="1">
      <c r="A393" s="32">
        <v>5179026010</v>
      </c>
      <c r="B393" s="332" t="s">
        <v>205</v>
      </c>
      <c r="C393" s="332">
        <v>12040570</v>
      </c>
      <c r="D393" s="332" t="s">
        <v>365</v>
      </c>
      <c r="E393" s="297">
        <v>150000</v>
      </c>
      <c r="F393" s="114">
        <v>151500</v>
      </c>
      <c r="G393" s="297">
        <v>151500</v>
      </c>
    </row>
    <row r="394" spans="1:7" s="20" customFormat="1">
      <c r="A394" s="32">
        <v>5179026010</v>
      </c>
      <c r="B394" s="332" t="s">
        <v>205</v>
      </c>
      <c r="C394" s="332">
        <v>1240604</v>
      </c>
      <c r="D394" s="332" t="s">
        <v>439</v>
      </c>
      <c r="E394" s="297">
        <v>150000</v>
      </c>
      <c r="F394" s="114">
        <v>151500</v>
      </c>
      <c r="G394" s="297">
        <v>151500</v>
      </c>
    </row>
    <row r="395" spans="1:7" s="20" customFormat="1">
      <c r="A395" s="32">
        <v>5179026010</v>
      </c>
      <c r="B395" s="332" t="s">
        <v>205</v>
      </c>
      <c r="C395" s="332">
        <v>1246527</v>
      </c>
      <c r="D395" s="332" t="s">
        <v>479</v>
      </c>
      <c r="E395" s="297">
        <v>50000</v>
      </c>
      <c r="F395" s="114">
        <v>50500</v>
      </c>
      <c r="G395" s="297">
        <v>50500</v>
      </c>
    </row>
    <row r="396" spans="1:7" s="20" customFormat="1">
      <c r="A396" s="32">
        <v>5179026010</v>
      </c>
      <c r="B396" s="332" t="s">
        <v>205</v>
      </c>
      <c r="C396" s="332">
        <v>1240611</v>
      </c>
      <c r="D396" s="332" t="s">
        <v>480</v>
      </c>
      <c r="E396" s="297">
        <v>75000</v>
      </c>
      <c r="F396" s="114">
        <v>75750</v>
      </c>
      <c r="G396" s="297">
        <v>75750</v>
      </c>
    </row>
    <row r="397" spans="1:7" s="20" customFormat="1">
      <c r="A397" s="32">
        <v>5179026010</v>
      </c>
      <c r="B397" s="332" t="s">
        <v>205</v>
      </c>
      <c r="C397" s="332">
        <v>1240619</v>
      </c>
      <c r="D397" s="332" t="s">
        <v>481</v>
      </c>
      <c r="E397" s="297">
        <v>100000</v>
      </c>
      <c r="F397" s="114">
        <v>50500</v>
      </c>
      <c r="G397" s="297">
        <v>50500</v>
      </c>
    </row>
    <row r="398" spans="1:7" s="20" customFormat="1">
      <c r="A398" s="32">
        <v>5179026010</v>
      </c>
      <c r="B398" s="332" t="s">
        <v>205</v>
      </c>
      <c r="C398" s="332">
        <v>1240619</v>
      </c>
      <c r="D398" s="332" t="s">
        <v>482</v>
      </c>
      <c r="E398" s="297">
        <v>0</v>
      </c>
      <c r="F398" s="114">
        <v>50500</v>
      </c>
      <c r="G398" s="297">
        <v>50500</v>
      </c>
    </row>
    <row r="399" spans="1:7" s="20" customFormat="1">
      <c r="A399" s="32">
        <v>5179026010</v>
      </c>
      <c r="B399" s="332" t="s">
        <v>205</v>
      </c>
      <c r="C399" s="332">
        <v>1240641</v>
      </c>
      <c r="D399" s="332" t="s">
        <v>442</v>
      </c>
      <c r="E399" s="297">
        <v>225000</v>
      </c>
      <c r="F399" s="114">
        <v>227250</v>
      </c>
      <c r="G399" s="297">
        <v>227250</v>
      </c>
    </row>
    <row r="400" spans="1:7" s="20" customFormat="1">
      <c r="A400" s="32">
        <v>5179026010</v>
      </c>
      <c r="B400" s="332" t="s">
        <v>205</v>
      </c>
      <c r="C400" s="332">
        <v>1240632</v>
      </c>
      <c r="D400" s="332" t="s">
        <v>371</v>
      </c>
      <c r="E400" s="297">
        <v>150000</v>
      </c>
      <c r="F400" s="114">
        <v>151500</v>
      </c>
      <c r="G400" s="297">
        <v>151500</v>
      </c>
    </row>
    <row r="401" spans="1:7" s="20" customFormat="1">
      <c r="A401" s="32">
        <v>5179026010</v>
      </c>
      <c r="B401" s="332" t="s">
        <v>205</v>
      </c>
      <c r="C401" s="332">
        <v>1240641</v>
      </c>
      <c r="D401" s="332" t="s">
        <v>483</v>
      </c>
      <c r="E401" s="297">
        <v>75000</v>
      </c>
      <c r="F401" s="114">
        <v>75750</v>
      </c>
      <c r="G401" s="297">
        <v>75750</v>
      </c>
    </row>
    <row r="402" spans="1:7" s="20" customFormat="1">
      <c r="A402" s="32">
        <v>5179026010</v>
      </c>
      <c r="B402" s="332" t="s">
        <v>205</v>
      </c>
      <c r="C402" s="332">
        <v>12150010</v>
      </c>
      <c r="D402" s="332" t="s">
        <v>444</v>
      </c>
      <c r="E402" s="297">
        <v>17500</v>
      </c>
      <c r="F402" s="114">
        <v>50500</v>
      </c>
      <c r="G402" s="297">
        <v>50500</v>
      </c>
    </row>
    <row r="403" spans="1:7" s="20" customFormat="1">
      <c r="A403" s="32">
        <v>5179026010</v>
      </c>
      <c r="B403" s="332" t="s">
        <v>205</v>
      </c>
      <c r="C403" s="332">
        <v>12150009</v>
      </c>
      <c r="D403" s="332" t="s">
        <v>484</v>
      </c>
      <c r="E403" s="297">
        <v>26250</v>
      </c>
      <c r="F403" s="114">
        <v>50500</v>
      </c>
      <c r="G403" s="297">
        <v>50500</v>
      </c>
    </row>
    <row r="404" spans="1:7" s="20" customFormat="1">
      <c r="A404" s="32">
        <v>5179026010</v>
      </c>
      <c r="B404" s="332" t="s">
        <v>205</v>
      </c>
      <c r="C404" s="332">
        <v>12040569</v>
      </c>
      <c r="D404" s="332" t="s">
        <v>443</v>
      </c>
      <c r="E404" s="297">
        <v>150000</v>
      </c>
      <c r="F404" s="114">
        <v>151500</v>
      </c>
      <c r="G404" s="297">
        <v>151500</v>
      </c>
    </row>
    <row r="405" spans="1:7" s="20" customFormat="1">
      <c r="A405" s="32">
        <v>5179026010</v>
      </c>
      <c r="B405" s="332" t="s">
        <v>205</v>
      </c>
      <c r="C405" s="332">
        <v>12040633</v>
      </c>
      <c r="D405" s="332" t="s">
        <v>446</v>
      </c>
      <c r="E405" s="297">
        <v>75000</v>
      </c>
      <c r="F405" s="114">
        <v>75750</v>
      </c>
      <c r="G405" s="297">
        <v>75750</v>
      </c>
    </row>
    <row r="406" spans="1:7" s="66" customFormat="1">
      <c r="A406" s="30"/>
      <c r="B406" s="231"/>
      <c r="C406" s="231"/>
      <c r="D406" s="231" t="s">
        <v>454</v>
      </c>
      <c r="E406" s="114">
        <f>SUM(E392:E405)</f>
        <v>11743750</v>
      </c>
      <c r="F406" s="114">
        <f>SUM(F392:F405)</f>
        <v>12200000</v>
      </c>
      <c r="G406" s="114">
        <f>SUM(G392:G405)</f>
        <v>12200000</v>
      </c>
    </row>
    <row r="407" spans="1:7" s="20" customFormat="1">
      <c r="A407" s="32"/>
      <c r="B407" s="332"/>
      <c r="C407" s="332"/>
      <c r="D407" s="332"/>
      <c r="E407" s="297"/>
      <c r="F407" s="114"/>
      <c r="G407" s="297"/>
    </row>
    <row r="408" spans="1:7" s="20" customFormat="1">
      <c r="A408" s="32"/>
      <c r="B408" s="332"/>
      <c r="C408" s="332"/>
      <c r="D408" s="332"/>
      <c r="E408" s="313"/>
      <c r="F408" s="392"/>
      <c r="G408" s="313"/>
    </row>
    <row r="409" spans="1:7" s="20" customFormat="1">
      <c r="A409" s="32">
        <v>517055010</v>
      </c>
      <c r="B409" s="332" t="s">
        <v>485</v>
      </c>
      <c r="C409" s="332">
        <v>12040632001</v>
      </c>
      <c r="D409" s="332" t="s">
        <v>371</v>
      </c>
      <c r="E409" s="297">
        <v>118800</v>
      </c>
      <c r="F409" s="114">
        <v>132900</v>
      </c>
      <c r="G409" s="297">
        <v>132900</v>
      </c>
    </row>
    <row r="410" spans="1:7" s="20" customFormat="1">
      <c r="A410" s="32">
        <v>517055010</v>
      </c>
      <c r="B410" s="332" t="s">
        <v>485</v>
      </c>
      <c r="C410" s="332">
        <v>12040041001</v>
      </c>
      <c r="D410" s="332" t="s">
        <v>486</v>
      </c>
      <c r="E410" s="297">
        <v>178200</v>
      </c>
      <c r="F410" s="114">
        <v>199350</v>
      </c>
      <c r="G410" s="297">
        <v>199350</v>
      </c>
    </row>
    <row r="411" spans="1:7" s="20" customFormat="1">
      <c r="A411" s="32">
        <v>517055010</v>
      </c>
      <c r="B411" s="332" t="s">
        <v>485</v>
      </c>
      <c r="C411" s="332">
        <v>12040633001</v>
      </c>
      <c r="D411" s="332" t="s">
        <v>446</v>
      </c>
      <c r="E411" s="297">
        <v>6000</v>
      </c>
      <c r="F411" s="114">
        <v>66450</v>
      </c>
      <c r="G411" s="297">
        <v>66450</v>
      </c>
    </row>
    <row r="412" spans="1:7" s="20" customFormat="1">
      <c r="A412" s="32">
        <v>517055010</v>
      </c>
      <c r="B412" s="332" t="s">
        <v>485</v>
      </c>
      <c r="C412" s="332">
        <v>12040567001</v>
      </c>
      <c r="D412" s="332" t="s">
        <v>443</v>
      </c>
      <c r="E412" s="297">
        <v>118800</v>
      </c>
      <c r="F412" s="114">
        <v>132900</v>
      </c>
      <c r="G412" s="297">
        <v>132900</v>
      </c>
    </row>
    <row r="413" spans="1:7" s="20" customFormat="1">
      <c r="A413" s="32">
        <v>517055010</v>
      </c>
      <c r="B413" s="332" t="s">
        <v>485</v>
      </c>
      <c r="C413" s="332">
        <v>12040532001</v>
      </c>
      <c r="D413" s="332" t="s">
        <v>437</v>
      </c>
      <c r="E413" s="297">
        <v>8316000</v>
      </c>
      <c r="F413" s="114">
        <v>9303000</v>
      </c>
      <c r="G413" s="297">
        <v>9303000</v>
      </c>
    </row>
    <row r="414" spans="1:7" s="20" customFormat="1">
      <c r="A414" s="32">
        <v>517055010</v>
      </c>
      <c r="B414" s="332" t="s">
        <v>485</v>
      </c>
      <c r="C414" s="332">
        <v>12040570001</v>
      </c>
      <c r="D414" s="332" t="s">
        <v>365</v>
      </c>
      <c r="E414" s="297">
        <v>118800</v>
      </c>
      <c r="F414" s="114">
        <v>199350</v>
      </c>
      <c r="G414" s="297">
        <v>199350</v>
      </c>
    </row>
    <row r="415" spans="1:7" s="20" customFormat="1">
      <c r="A415" s="32">
        <v>517055010</v>
      </c>
      <c r="B415" s="332" t="s">
        <v>485</v>
      </c>
      <c r="C415" s="332">
        <v>12040040001</v>
      </c>
      <c r="D415" s="332" t="s">
        <v>439</v>
      </c>
      <c r="E415" s="297">
        <v>118800</v>
      </c>
      <c r="F415" s="114">
        <v>132900</v>
      </c>
      <c r="G415" s="297">
        <v>132900</v>
      </c>
    </row>
    <row r="416" spans="1:7" s="20" customFormat="1">
      <c r="A416" s="32">
        <v>517055010</v>
      </c>
      <c r="B416" s="332" t="s">
        <v>485</v>
      </c>
      <c r="C416" s="332">
        <v>1240604081</v>
      </c>
      <c r="D416" s="332" t="s">
        <v>479</v>
      </c>
      <c r="E416" s="297">
        <v>118800</v>
      </c>
      <c r="F416" s="114">
        <v>132900</v>
      </c>
      <c r="G416" s="297">
        <v>132900</v>
      </c>
    </row>
    <row r="417" spans="1:7" s="20" customFormat="1">
      <c r="A417" s="32">
        <v>517055010</v>
      </c>
      <c r="B417" s="332" t="s">
        <v>485</v>
      </c>
      <c r="C417" s="332">
        <v>12040621001</v>
      </c>
      <c r="D417" s="332" t="s">
        <v>487</v>
      </c>
      <c r="E417" s="297">
        <v>6000</v>
      </c>
      <c r="F417" s="114">
        <v>66450</v>
      </c>
      <c r="G417" s="297">
        <v>66450</v>
      </c>
    </row>
    <row r="418" spans="1:7" s="20" customFormat="1">
      <c r="A418" s="32">
        <v>517055010</v>
      </c>
      <c r="B418" s="332" t="s">
        <v>485</v>
      </c>
      <c r="C418" s="332">
        <v>12040619001</v>
      </c>
      <c r="D418" s="332" t="s">
        <v>488</v>
      </c>
      <c r="E418" s="297">
        <v>24000</v>
      </c>
      <c r="F418" s="114">
        <v>66450</v>
      </c>
      <c r="G418" s="297">
        <v>66450</v>
      </c>
    </row>
    <row r="419" spans="1:7" s="20" customFormat="1">
      <c r="A419" s="32">
        <v>517055010</v>
      </c>
      <c r="B419" s="332" t="s">
        <v>485</v>
      </c>
      <c r="C419" s="332">
        <v>12040633001</v>
      </c>
      <c r="D419" s="332" t="s">
        <v>444</v>
      </c>
      <c r="E419" s="297">
        <v>2000</v>
      </c>
      <c r="F419" s="114">
        <v>32200</v>
      </c>
      <c r="G419" s="297">
        <v>32200</v>
      </c>
    </row>
    <row r="420" spans="1:7" s="20" customFormat="1">
      <c r="A420" s="32">
        <v>517055010</v>
      </c>
      <c r="B420" s="332" t="s">
        <v>485</v>
      </c>
      <c r="C420" s="332">
        <v>12040058001</v>
      </c>
      <c r="D420" s="332" t="s">
        <v>450</v>
      </c>
      <c r="E420" s="297">
        <v>6000</v>
      </c>
      <c r="F420" s="114">
        <v>16100</v>
      </c>
      <c r="G420" s="297">
        <v>16100</v>
      </c>
    </row>
    <row r="421" spans="1:7" s="20" customFormat="1">
      <c r="A421" s="32">
        <v>517055010</v>
      </c>
      <c r="B421" s="332" t="s">
        <v>485</v>
      </c>
      <c r="C421" s="332">
        <v>12040633001</v>
      </c>
      <c r="D421" s="332" t="s">
        <v>489</v>
      </c>
      <c r="E421" s="297">
        <v>22000</v>
      </c>
      <c r="F421" s="114">
        <v>19050</v>
      </c>
      <c r="G421" s="297">
        <v>19050</v>
      </c>
    </row>
    <row r="422" spans="1:7" s="66" customFormat="1">
      <c r="A422" s="30"/>
      <c r="B422" s="231"/>
      <c r="C422" s="231"/>
      <c r="D422" s="231" t="s">
        <v>242</v>
      </c>
      <c r="E422" s="114">
        <f>SUM(E409:E421)</f>
        <v>9154200</v>
      </c>
      <c r="F422" s="114">
        <f>SUM(F409:F421)</f>
        <v>10500000</v>
      </c>
      <c r="G422" s="114">
        <f>SUM(G409:G421)</f>
        <v>10500000</v>
      </c>
    </row>
    <row r="423" spans="1:7" s="20" customFormat="1">
      <c r="A423" s="32"/>
      <c r="B423" s="332"/>
      <c r="C423" s="332"/>
      <c r="D423" s="332"/>
      <c r="E423" s="297"/>
      <c r="F423" s="114"/>
      <c r="G423" s="297"/>
    </row>
    <row r="424" spans="1:7" s="20" customFormat="1">
      <c r="A424" s="32"/>
      <c r="B424" s="332"/>
      <c r="C424" s="332"/>
      <c r="D424" s="332"/>
      <c r="E424" s="313"/>
      <c r="F424" s="392"/>
      <c r="G424" s="313"/>
    </row>
    <row r="425" spans="1:7" s="20" customFormat="1">
      <c r="A425" s="32">
        <v>517055011</v>
      </c>
      <c r="B425" s="332" t="s">
        <v>207</v>
      </c>
      <c r="C425" s="332">
        <v>12040040</v>
      </c>
      <c r="D425" s="332" t="s">
        <v>313</v>
      </c>
      <c r="E425" s="297">
        <v>235500</v>
      </c>
      <c r="F425" s="114">
        <v>217200</v>
      </c>
      <c r="G425" s="297">
        <v>217200</v>
      </c>
    </row>
    <row r="426" spans="1:7" s="20" customFormat="1">
      <c r="A426" s="32">
        <v>517055011</v>
      </c>
      <c r="B426" s="332" t="s">
        <v>207</v>
      </c>
      <c r="C426" s="332">
        <v>12040041</v>
      </c>
      <c r="D426" s="332" t="s">
        <v>490</v>
      </c>
      <c r="E426" s="297">
        <v>235500</v>
      </c>
      <c r="F426" s="114">
        <v>325800</v>
      </c>
      <c r="G426" s="297">
        <v>325800</v>
      </c>
    </row>
    <row r="427" spans="1:7" s="20" customFormat="1">
      <c r="A427" s="32">
        <v>517055011</v>
      </c>
      <c r="B427" s="332" t="s">
        <v>207</v>
      </c>
      <c r="C427" s="332">
        <v>12040532</v>
      </c>
      <c r="D427" s="332" t="s">
        <v>311</v>
      </c>
      <c r="E427" s="297">
        <v>16485000</v>
      </c>
      <c r="F427" s="114">
        <v>15204000</v>
      </c>
      <c r="G427" s="297">
        <v>15204000</v>
      </c>
    </row>
    <row r="428" spans="1:7" s="20" customFormat="1">
      <c r="A428" s="32">
        <v>517055011</v>
      </c>
      <c r="B428" s="332" t="s">
        <v>207</v>
      </c>
      <c r="C428" s="332">
        <v>12040569</v>
      </c>
      <c r="D428" s="332" t="s">
        <v>319</v>
      </c>
      <c r="E428" s="297">
        <v>235500</v>
      </c>
      <c r="F428" s="114">
        <v>217200</v>
      </c>
      <c r="G428" s="297">
        <v>217200</v>
      </c>
    </row>
    <row r="429" spans="1:7" s="20" customFormat="1">
      <c r="A429" s="32">
        <v>517055011</v>
      </c>
      <c r="B429" s="332" t="s">
        <v>207</v>
      </c>
      <c r="C429" s="332">
        <v>12040570</v>
      </c>
      <c r="D429" s="332" t="s">
        <v>312</v>
      </c>
      <c r="E429" s="297">
        <v>235500</v>
      </c>
      <c r="F429" s="114">
        <v>72400</v>
      </c>
      <c r="G429" s="297">
        <v>72400</v>
      </c>
    </row>
    <row r="430" spans="1:7" s="20" customFormat="1">
      <c r="A430" s="32">
        <v>517055011</v>
      </c>
      <c r="B430" s="332" t="s">
        <v>207</v>
      </c>
      <c r="C430" s="332">
        <v>12040604</v>
      </c>
      <c r="D430" s="332" t="s">
        <v>314</v>
      </c>
      <c r="E430" s="297">
        <v>235500</v>
      </c>
      <c r="F430" s="114">
        <v>217200</v>
      </c>
      <c r="G430" s="297">
        <v>217200</v>
      </c>
    </row>
    <row r="431" spans="1:7" s="20" customFormat="1">
      <c r="A431" s="32">
        <v>517055011</v>
      </c>
      <c r="B431" s="332" t="s">
        <v>207</v>
      </c>
      <c r="C431" s="332">
        <v>12040619</v>
      </c>
      <c r="D431" s="332" t="s">
        <v>491</v>
      </c>
      <c r="E431" s="297">
        <v>50000</v>
      </c>
      <c r="F431" s="114">
        <v>25000</v>
      </c>
      <c r="G431" s="297">
        <v>25000</v>
      </c>
    </row>
    <row r="432" spans="1:7" s="20" customFormat="1">
      <c r="A432" s="32">
        <v>517055011</v>
      </c>
      <c r="B432" s="332" t="s">
        <v>207</v>
      </c>
      <c r="C432" s="332">
        <v>12040621</v>
      </c>
      <c r="D432" s="332" t="s">
        <v>492</v>
      </c>
      <c r="E432" s="297">
        <v>117750</v>
      </c>
      <c r="F432" s="114">
        <v>36200</v>
      </c>
      <c r="G432" s="297">
        <v>36200</v>
      </c>
    </row>
    <row r="433" spans="1:7" s="20" customFormat="1">
      <c r="A433" s="32">
        <v>517055011</v>
      </c>
      <c r="B433" s="332" t="s">
        <v>207</v>
      </c>
      <c r="C433" s="332">
        <v>12040632</v>
      </c>
      <c r="D433" s="332" t="s">
        <v>428</v>
      </c>
      <c r="E433" s="297">
        <v>235500</v>
      </c>
      <c r="F433" s="114">
        <v>217200</v>
      </c>
      <c r="G433" s="297">
        <v>217200</v>
      </c>
    </row>
    <row r="434" spans="1:7" s="20" customFormat="1">
      <c r="A434" s="32">
        <v>517055011</v>
      </c>
      <c r="B434" s="332" t="s">
        <v>207</v>
      </c>
      <c r="C434" s="332">
        <v>12040633</v>
      </c>
      <c r="D434" s="332" t="s">
        <v>431</v>
      </c>
      <c r="E434" s="297">
        <v>235500</v>
      </c>
      <c r="F434" s="114">
        <v>108600</v>
      </c>
      <c r="G434" s="297">
        <v>108600</v>
      </c>
    </row>
    <row r="435" spans="1:7" s="20" customFormat="1">
      <c r="A435" s="32">
        <v>517055011</v>
      </c>
      <c r="B435" s="332" t="s">
        <v>207</v>
      </c>
      <c r="C435" s="332">
        <v>12150009</v>
      </c>
      <c r="D435" s="332" t="s">
        <v>493</v>
      </c>
      <c r="E435" s="297">
        <v>25000</v>
      </c>
      <c r="F435" s="114">
        <v>25000</v>
      </c>
      <c r="G435" s="297">
        <v>25000</v>
      </c>
    </row>
    <row r="436" spans="1:7" s="20" customFormat="1">
      <c r="A436" s="32">
        <v>517055011</v>
      </c>
      <c r="B436" s="332" t="s">
        <v>207</v>
      </c>
      <c r="C436" s="332">
        <v>12040637</v>
      </c>
      <c r="D436" s="332" t="s">
        <v>322</v>
      </c>
      <c r="E436" s="297">
        <v>235500</v>
      </c>
      <c r="F436" s="114">
        <v>108600</v>
      </c>
      <c r="G436" s="297">
        <v>108600</v>
      </c>
    </row>
    <row r="437" spans="1:7" s="20" customFormat="1">
      <c r="A437" s="32">
        <v>517055011</v>
      </c>
      <c r="B437" s="332" t="s">
        <v>207</v>
      </c>
      <c r="C437" s="332">
        <v>12150010</v>
      </c>
      <c r="D437" s="332" t="s">
        <v>321</v>
      </c>
      <c r="E437" s="297">
        <v>25000</v>
      </c>
      <c r="F437" s="114">
        <v>25000</v>
      </c>
      <c r="G437" s="297">
        <v>25000</v>
      </c>
    </row>
    <row r="438" spans="1:7" s="66" customFormat="1">
      <c r="A438" s="30"/>
      <c r="B438" s="231"/>
      <c r="C438" s="231"/>
      <c r="D438" s="231" t="s">
        <v>242</v>
      </c>
      <c r="E438" s="114">
        <f>SUM(E425:E437)</f>
        <v>18586750</v>
      </c>
      <c r="F438" s="114">
        <f>SUM(F425:F437)</f>
        <v>16799400</v>
      </c>
      <c r="G438" s="114">
        <f>SUM(G425:G437)</f>
        <v>16799400</v>
      </c>
    </row>
    <row r="439" spans="1:7" s="20" customFormat="1">
      <c r="A439" s="32"/>
      <c r="B439" s="332"/>
      <c r="C439" s="332"/>
      <c r="D439" s="332"/>
      <c r="E439" s="297"/>
      <c r="F439" s="114"/>
      <c r="G439" s="297"/>
    </row>
    <row r="440" spans="1:7" s="20" customFormat="1">
      <c r="A440" s="32"/>
      <c r="B440" s="332"/>
      <c r="C440" s="332"/>
      <c r="D440" s="332"/>
      <c r="E440" s="313"/>
      <c r="F440" s="392"/>
      <c r="G440" s="313"/>
    </row>
    <row r="441" spans="1:7" s="20" customFormat="1">
      <c r="A441" s="32">
        <v>517055012</v>
      </c>
      <c r="B441" s="332" t="s">
        <v>208</v>
      </c>
      <c r="C441" s="332">
        <v>12040040</v>
      </c>
      <c r="D441" s="332" t="s">
        <v>494</v>
      </c>
      <c r="E441" s="297">
        <v>338100</v>
      </c>
      <c r="F441" s="114">
        <v>303000</v>
      </c>
      <c r="G441" s="297">
        <v>303000</v>
      </c>
    </row>
    <row r="442" spans="1:7" s="20" customFormat="1">
      <c r="A442" s="32">
        <v>517055012</v>
      </c>
      <c r="B442" s="332" t="s">
        <v>208</v>
      </c>
      <c r="C442" s="332">
        <v>12040041</v>
      </c>
      <c r="D442" s="332" t="s">
        <v>495</v>
      </c>
      <c r="E442" s="297">
        <v>507150</v>
      </c>
      <c r="F442" s="114">
        <v>303000</v>
      </c>
      <c r="G442" s="297">
        <v>303000</v>
      </c>
    </row>
    <row r="443" spans="1:7" s="20" customFormat="1">
      <c r="A443" s="32">
        <v>517055012</v>
      </c>
      <c r="B443" s="332" t="s">
        <v>208</v>
      </c>
      <c r="C443" s="332">
        <v>12040058</v>
      </c>
      <c r="D443" s="332" t="s">
        <v>399</v>
      </c>
      <c r="E443" s="297">
        <v>169050</v>
      </c>
      <c r="F443" s="114">
        <v>151500</v>
      </c>
      <c r="G443" s="297">
        <v>151500</v>
      </c>
    </row>
    <row r="444" spans="1:7" s="20" customFormat="1">
      <c r="A444" s="32">
        <v>517055012</v>
      </c>
      <c r="B444" s="332" t="s">
        <v>208</v>
      </c>
      <c r="C444" s="332">
        <v>12040169</v>
      </c>
      <c r="D444" s="332" t="s">
        <v>496</v>
      </c>
      <c r="E444" s="297">
        <v>0</v>
      </c>
      <c r="F444" s="114" t="s">
        <v>304</v>
      </c>
      <c r="G444" s="297" t="s">
        <v>304</v>
      </c>
    </row>
    <row r="445" spans="1:7" s="20" customFormat="1">
      <c r="A445" s="32">
        <v>517055012</v>
      </c>
      <c r="B445" s="332" t="s">
        <v>208</v>
      </c>
      <c r="C445" s="332">
        <v>12040532</v>
      </c>
      <c r="D445" s="332" t="s">
        <v>311</v>
      </c>
      <c r="E445" s="297">
        <v>23637000</v>
      </c>
      <c r="F445" s="114">
        <f>21210000-500</f>
        <v>21209500</v>
      </c>
      <c r="G445" s="297">
        <f>21210000-500</f>
        <v>21209500</v>
      </c>
    </row>
    <row r="446" spans="1:7" s="20" customFormat="1">
      <c r="A446" s="32">
        <v>517055012</v>
      </c>
      <c r="B446" s="332" t="s">
        <v>208</v>
      </c>
      <c r="C446" s="332">
        <v>12040570</v>
      </c>
      <c r="D446" s="332" t="s">
        <v>463</v>
      </c>
      <c r="E446" s="297">
        <v>338100</v>
      </c>
      <c r="F446" s="114">
        <v>303000</v>
      </c>
      <c r="G446" s="297">
        <v>303000</v>
      </c>
    </row>
    <row r="447" spans="1:7" s="20" customFormat="1">
      <c r="A447" s="32">
        <v>517055012</v>
      </c>
      <c r="B447" s="332" t="s">
        <v>208</v>
      </c>
      <c r="C447" s="332">
        <v>12040570</v>
      </c>
      <c r="D447" s="332" t="s">
        <v>497</v>
      </c>
      <c r="E447" s="297">
        <v>56350</v>
      </c>
      <c r="F447" s="114">
        <v>151500</v>
      </c>
      <c r="G447" s="297">
        <v>151500</v>
      </c>
    </row>
    <row r="448" spans="1:7" s="20" customFormat="1">
      <c r="A448" s="32">
        <v>517055012</v>
      </c>
      <c r="B448" s="332" t="s">
        <v>208</v>
      </c>
      <c r="C448" s="332">
        <v>12040604</v>
      </c>
      <c r="D448" s="332" t="s">
        <v>314</v>
      </c>
      <c r="E448" s="297">
        <v>338100</v>
      </c>
      <c r="F448" s="114">
        <v>303000</v>
      </c>
      <c r="G448" s="297">
        <v>303000</v>
      </c>
    </row>
    <row r="449" spans="1:7" s="20" customFormat="1">
      <c r="A449" s="32">
        <v>517055012</v>
      </c>
      <c r="B449" s="332" t="s">
        <v>208</v>
      </c>
      <c r="C449" s="332">
        <v>12040619</v>
      </c>
      <c r="D449" s="332" t="s">
        <v>498</v>
      </c>
      <c r="E449" s="297">
        <v>255400</v>
      </c>
      <c r="F449" s="114" t="s">
        <v>304</v>
      </c>
      <c r="G449" s="297" t="s">
        <v>304</v>
      </c>
    </row>
    <row r="450" spans="1:7" s="20" customFormat="1">
      <c r="A450" s="32">
        <v>517055012</v>
      </c>
      <c r="B450" s="332" t="s">
        <v>208</v>
      </c>
      <c r="C450" s="332">
        <v>12040621</v>
      </c>
      <c r="D450" s="332" t="s">
        <v>499</v>
      </c>
      <c r="E450" s="297">
        <v>169050</v>
      </c>
      <c r="F450" s="114">
        <v>303000</v>
      </c>
      <c r="G450" s="297">
        <v>303000</v>
      </c>
    </row>
    <row r="451" spans="1:7" s="20" customFormat="1">
      <c r="A451" s="32">
        <v>517055012</v>
      </c>
      <c r="B451" s="332" t="s">
        <v>208</v>
      </c>
      <c r="C451" s="332">
        <v>12040632</v>
      </c>
      <c r="D451" s="332" t="s">
        <v>428</v>
      </c>
      <c r="E451" s="297">
        <v>338100</v>
      </c>
      <c r="F451" s="114">
        <v>303000</v>
      </c>
      <c r="G451" s="297">
        <v>303000</v>
      </c>
    </row>
    <row r="452" spans="1:7" s="20" customFormat="1">
      <c r="A452" s="32">
        <v>517055012</v>
      </c>
      <c r="B452" s="332" t="s">
        <v>208</v>
      </c>
      <c r="C452" s="332">
        <v>12040633</v>
      </c>
      <c r="D452" s="332" t="s">
        <v>431</v>
      </c>
      <c r="E452" s="297">
        <v>169050</v>
      </c>
      <c r="F452" s="114">
        <v>151500</v>
      </c>
      <c r="G452" s="297">
        <v>151500</v>
      </c>
    </row>
    <row r="453" spans="1:7" s="20" customFormat="1">
      <c r="A453" s="32">
        <v>517055012</v>
      </c>
      <c r="B453" s="332" t="s">
        <v>208</v>
      </c>
      <c r="C453" s="332">
        <v>12040637</v>
      </c>
      <c r="D453" s="332" t="s">
        <v>500</v>
      </c>
      <c r="E453" s="297">
        <v>0</v>
      </c>
      <c r="F453" s="114" t="s">
        <v>304</v>
      </c>
      <c r="G453" s="297" t="s">
        <v>304</v>
      </c>
    </row>
    <row r="454" spans="1:7" s="20" customFormat="1">
      <c r="A454" s="32">
        <v>517055012</v>
      </c>
      <c r="B454" s="332" t="s">
        <v>208</v>
      </c>
      <c r="C454" s="332">
        <v>12040641</v>
      </c>
      <c r="D454" s="332" t="s">
        <v>501</v>
      </c>
      <c r="E454" s="297">
        <v>0</v>
      </c>
      <c r="F454" s="114" t="s">
        <v>304</v>
      </c>
      <c r="G454" s="297" t="s">
        <v>304</v>
      </c>
    </row>
    <row r="455" spans="1:7" s="20" customFormat="1">
      <c r="A455" s="32">
        <v>517055012</v>
      </c>
      <c r="B455" s="332" t="s">
        <v>208</v>
      </c>
      <c r="C455" s="332">
        <v>12150010</v>
      </c>
      <c r="D455" s="332" t="s">
        <v>321</v>
      </c>
      <c r="E455" s="297">
        <v>112700</v>
      </c>
      <c r="F455" s="114" t="s">
        <v>304</v>
      </c>
      <c r="G455" s="297" t="s">
        <v>304</v>
      </c>
    </row>
    <row r="456" spans="1:7" s="20" customFormat="1">
      <c r="A456" s="32">
        <v>517055012</v>
      </c>
      <c r="B456" s="332" t="s">
        <v>208</v>
      </c>
      <c r="C456" s="332">
        <v>12150009</v>
      </c>
      <c r="D456" s="332" t="s">
        <v>502</v>
      </c>
      <c r="E456" s="297">
        <v>169050</v>
      </c>
      <c r="F456" s="114" t="s">
        <v>304</v>
      </c>
      <c r="G456" s="297" t="s">
        <v>304</v>
      </c>
    </row>
    <row r="457" spans="1:7" s="66" customFormat="1">
      <c r="A457" s="30"/>
      <c r="B457" s="231"/>
      <c r="C457" s="231"/>
      <c r="D457" s="231" t="s">
        <v>242</v>
      </c>
      <c r="E457" s="114">
        <f>SUM(E441:E456)</f>
        <v>26597200</v>
      </c>
      <c r="F457" s="114">
        <f>SUM(F441:F456)</f>
        <v>23482000</v>
      </c>
      <c r="G457" s="114">
        <f>SUM(G441:G456)</f>
        <v>23482000</v>
      </c>
    </row>
    <row r="458" spans="1:7" s="20" customFormat="1">
      <c r="A458" s="32"/>
      <c r="B458" s="332"/>
      <c r="C458" s="332"/>
      <c r="D458" s="332"/>
      <c r="E458" s="297"/>
      <c r="F458" s="114"/>
      <c r="G458" s="297"/>
    </row>
    <row r="459" spans="1:7" s="20" customFormat="1">
      <c r="A459" s="32"/>
      <c r="B459" s="332"/>
      <c r="C459" s="332"/>
      <c r="D459" s="332"/>
      <c r="E459" s="297"/>
      <c r="F459" s="114"/>
      <c r="G459" s="297"/>
    </row>
    <row r="460" spans="1:7" s="20" customFormat="1">
      <c r="A460" s="32">
        <v>517055010</v>
      </c>
      <c r="B460" s="332" t="s">
        <v>137</v>
      </c>
      <c r="C460" s="332">
        <v>12020463</v>
      </c>
      <c r="D460" s="332" t="s">
        <v>311</v>
      </c>
      <c r="E460" s="297">
        <v>8494600</v>
      </c>
      <c r="F460" s="114">
        <f>7350000-140500</f>
        <v>7209500</v>
      </c>
      <c r="G460" s="297">
        <f>7350000-140500</f>
        <v>7209500</v>
      </c>
    </row>
    <row r="461" spans="1:7" s="20" customFormat="1">
      <c r="A461" s="32">
        <v>517055010</v>
      </c>
      <c r="B461" s="332" t="s">
        <v>137</v>
      </c>
      <c r="C461" s="332">
        <v>12020476</v>
      </c>
      <c r="D461" s="332" t="s">
        <v>1778</v>
      </c>
      <c r="E461" s="297">
        <v>59000</v>
      </c>
      <c r="F461" s="114">
        <v>52500</v>
      </c>
      <c r="G461" s="297">
        <v>52500</v>
      </c>
    </row>
    <row r="462" spans="1:7" s="20" customFormat="1">
      <c r="A462" s="32">
        <v>517055010</v>
      </c>
      <c r="B462" s="332" t="s">
        <v>137</v>
      </c>
      <c r="C462" s="332">
        <v>12020481</v>
      </c>
      <c r="D462" s="332" t="s">
        <v>314</v>
      </c>
      <c r="E462" s="297">
        <v>118800</v>
      </c>
      <c r="F462" s="114">
        <v>105000</v>
      </c>
      <c r="G462" s="297">
        <v>105000</v>
      </c>
    </row>
    <row r="463" spans="1:7" s="20" customFormat="1">
      <c r="A463" s="32">
        <v>517055010</v>
      </c>
      <c r="B463" s="332" t="s">
        <v>137</v>
      </c>
      <c r="C463" s="332">
        <v>1202098</v>
      </c>
      <c r="D463" s="332" t="s">
        <v>312</v>
      </c>
      <c r="E463" s="297">
        <v>118800</v>
      </c>
      <c r="F463" s="114">
        <v>105000</v>
      </c>
      <c r="G463" s="297">
        <v>105000</v>
      </c>
    </row>
    <row r="464" spans="1:7" s="20" customFormat="1">
      <c r="A464" s="32">
        <v>517055010</v>
      </c>
      <c r="B464" s="332" t="s">
        <v>137</v>
      </c>
      <c r="C464" s="332">
        <v>12020603</v>
      </c>
      <c r="D464" s="332" t="s">
        <v>503</v>
      </c>
      <c r="E464" s="297">
        <v>24000</v>
      </c>
      <c r="F464" s="114">
        <v>13900</v>
      </c>
      <c r="G464" s="297">
        <v>13900</v>
      </c>
    </row>
    <row r="465" spans="1:7" s="20" customFormat="1">
      <c r="A465" s="32">
        <v>517055010</v>
      </c>
      <c r="B465" s="332" t="s">
        <v>137</v>
      </c>
      <c r="C465" s="332">
        <v>1202408</v>
      </c>
      <c r="D465" s="332" t="s">
        <v>504</v>
      </c>
      <c r="E465" s="297">
        <v>118800</v>
      </c>
      <c r="F465" s="114">
        <v>105000</v>
      </c>
      <c r="G465" s="297">
        <v>105000</v>
      </c>
    </row>
    <row r="466" spans="1:7" s="20" customFormat="1">
      <c r="A466" s="32">
        <v>517055010</v>
      </c>
      <c r="B466" s="332" t="s">
        <v>137</v>
      </c>
      <c r="C466" s="332">
        <v>12023667</v>
      </c>
      <c r="D466" s="332" t="s">
        <v>428</v>
      </c>
      <c r="E466" s="297">
        <v>59000</v>
      </c>
      <c r="F466" s="114">
        <v>105000</v>
      </c>
      <c r="G466" s="297">
        <v>105000</v>
      </c>
    </row>
    <row r="467" spans="1:7" s="20" customFormat="1">
      <c r="A467" s="32">
        <v>517055010</v>
      </c>
      <c r="B467" s="332" t="s">
        <v>137</v>
      </c>
      <c r="C467" s="332">
        <v>12021369</v>
      </c>
      <c r="D467" s="332" t="s">
        <v>505</v>
      </c>
      <c r="E467" s="297">
        <v>118800</v>
      </c>
      <c r="F467" s="114">
        <v>157500</v>
      </c>
      <c r="G467" s="297">
        <v>157500</v>
      </c>
    </row>
    <row r="468" spans="1:7" s="20" customFormat="1">
      <c r="A468" s="32">
        <v>517055010</v>
      </c>
      <c r="B468" s="332" t="s">
        <v>137</v>
      </c>
      <c r="C468" s="332">
        <v>12020416</v>
      </c>
      <c r="D468" s="332" t="s">
        <v>462</v>
      </c>
      <c r="E468" s="297">
        <v>118800</v>
      </c>
      <c r="F468" s="114">
        <v>52500</v>
      </c>
      <c r="G468" s="297">
        <v>52500</v>
      </c>
    </row>
    <row r="469" spans="1:7" s="20" customFormat="1">
      <c r="A469" s="32">
        <v>517055010</v>
      </c>
      <c r="B469" s="332" t="s">
        <v>137</v>
      </c>
      <c r="C469" s="332">
        <v>12040055</v>
      </c>
      <c r="D469" s="332" t="s">
        <v>469</v>
      </c>
      <c r="E469" s="297">
        <v>118800</v>
      </c>
      <c r="F469" s="114">
        <v>52500</v>
      </c>
      <c r="G469" s="297">
        <v>52500</v>
      </c>
    </row>
    <row r="470" spans="1:7" s="20" customFormat="1">
      <c r="A470" s="32">
        <v>517055010</v>
      </c>
      <c r="B470" s="332" t="s">
        <v>137</v>
      </c>
      <c r="C470" s="332">
        <v>12150010</v>
      </c>
      <c r="D470" s="332" t="s">
        <v>470</v>
      </c>
      <c r="E470" s="297">
        <v>36000</v>
      </c>
      <c r="F470" s="114">
        <v>105000</v>
      </c>
      <c r="G470" s="297">
        <v>105000</v>
      </c>
    </row>
    <row r="471" spans="1:7" s="20" customFormat="1">
      <c r="A471" s="32">
        <v>517055010</v>
      </c>
      <c r="B471" s="332" t="s">
        <v>137</v>
      </c>
      <c r="C471" s="332">
        <v>12150009</v>
      </c>
      <c r="D471" s="332" t="s">
        <v>506</v>
      </c>
      <c r="E471" s="297">
        <v>36000</v>
      </c>
      <c r="F471" s="114">
        <v>105000</v>
      </c>
      <c r="G471" s="297">
        <v>105000</v>
      </c>
    </row>
    <row r="472" spans="1:7" s="20" customFormat="1">
      <c r="A472" s="32">
        <v>517055010</v>
      </c>
      <c r="B472" s="332" t="s">
        <v>137</v>
      </c>
      <c r="C472" s="332">
        <v>22021004</v>
      </c>
      <c r="D472" s="332" t="s">
        <v>313</v>
      </c>
      <c r="E472" s="297" t="s">
        <v>304</v>
      </c>
      <c r="F472" s="114">
        <v>105000</v>
      </c>
      <c r="G472" s="297">
        <v>105000</v>
      </c>
    </row>
    <row r="473" spans="1:7" s="66" customFormat="1">
      <c r="A473" s="30"/>
      <c r="B473" s="231"/>
      <c r="C473" s="231"/>
      <c r="D473" s="231" t="s">
        <v>242</v>
      </c>
      <c r="E473" s="114">
        <f>SUM(E460:E472)</f>
        <v>9421400</v>
      </c>
      <c r="F473" s="114">
        <f>SUM(F460:F472)</f>
        <v>8273400</v>
      </c>
      <c r="G473" s="114">
        <f>SUM(G460:G472)</f>
        <v>8273400</v>
      </c>
    </row>
    <row r="474" spans="1:7" s="20" customFormat="1">
      <c r="A474" s="32"/>
      <c r="B474" s="332"/>
      <c r="C474" s="332"/>
      <c r="D474" s="332"/>
      <c r="E474" s="297"/>
      <c r="F474" s="114"/>
      <c r="G474" s="297"/>
    </row>
    <row r="475" spans="1:7" s="20" customFormat="1">
      <c r="A475" s="332"/>
      <c r="B475" s="332"/>
      <c r="C475" s="332"/>
      <c r="D475" s="332"/>
      <c r="E475" s="313"/>
      <c r="F475" s="392"/>
      <c r="G475" s="313"/>
    </row>
    <row r="476" spans="1:7" s="20" customFormat="1">
      <c r="A476" s="32">
        <v>517055014</v>
      </c>
      <c r="B476" s="332" t="s">
        <v>507</v>
      </c>
      <c r="C476" s="332">
        <v>12040302</v>
      </c>
      <c r="D476" s="332" t="s">
        <v>311</v>
      </c>
      <c r="E476" s="297">
        <v>8526000</v>
      </c>
      <c r="F476" s="114">
        <f>9450000+1746500</f>
        <v>11196500</v>
      </c>
      <c r="G476" s="297">
        <f>9450000+1746500</f>
        <v>11196500</v>
      </c>
    </row>
    <row r="477" spans="1:7" s="20" customFormat="1">
      <c r="A477" s="32">
        <v>517055014</v>
      </c>
      <c r="B477" s="332" t="s">
        <v>507</v>
      </c>
      <c r="C477" s="332">
        <v>12040570</v>
      </c>
      <c r="D477" s="332" t="s">
        <v>312</v>
      </c>
      <c r="E477" s="297">
        <v>40600</v>
      </c>
      <c r="F477" s="114">
        <v>45000</v>
      </c>
      <c r="G477" s="297">
        <v>45000</v>
      </c>
    </row>
    <row r="478" spans="1:7" s="20" customFormat="1">
      <c r="A478" s="32">
        <v>517055014</v>
      </c>
      <c r="B478" s="332" t="s">
        <v>507</v>
      </c>
      <c r="C478" s="332">
        <v>12040442</v>
      </c>
      <c r="D478" s="332" t="s">
        <v>313</v>
      </c>
      <c r="E478" s="297">
        <v>121800</v>
      </c>
      <c r="F478" s="114">
        <v>135000</v>
      </c>
      <c r="G478" s="297">
        <v>135000</v>
      </c>
    </row>
    <row r="479" spans="1:7" s="20" customFormat="1">
      <c r="A479" s="32">
        <v>517055014</v>
      </c>
      <c r="B479" s="332" t="s">
        <v>507</v>
      </c>
      <c r="C479" s="332">
        <v>12040604</v>
      </c>
      <c r="D479" s="332" t="s">
        <v>314</v>
      </c>
      <c r="E479" s="297">
        <v>121800</v>
      </c>
      <c r="F479" s="114">
        <v>135000</v>
      </c>
      <c r="G479" s="297">
        <v>135000</v>
      </c>
    </row>
    <row r="480" spans="1:7" s="20" customFormat="1">
      <c r="A480" s="32">
        <v>517055014</v>
      </c>
      <c r="B480" s="332" t="s">
        <v>507</v>
      </c>
      <c r="C480" s="332">
        <v>12040621</v>
      </c>
      <c r="D480" s="332" t="s">
        <v>499</v>
      </c>
      <c r="E480" s="297">
        <v>6400</v>
      </c>
      <c r="F480" s="114">
        <v>9000</v>
      </c>
      <c r="G480" s="297">
        <v>9000</v>
      </c>
    </row>
    <row r="481" spans="1:7" s="20" customFormat="1">
      <c r="A481" s="32">
        <v>517055014</v>
      </c>
      <c r="B481" s="332" t="s">
        <v>507</v>
      </c>
      <c r="C481" s="332">
        <v>12040619</v>
      </c>
      <c r="D481" s="332" t="s">
        <v>508</v>
      </c>
      <c r="E481" s="297">
        <v>25600</v>
      </c>
      <c r="F481" s="114">
        <f>18000+18000</f>
        <v>36000</v>
      </c>
      <c r="G481" s="297">
        <f>18000+18000</f>
        <v>36000</v>
      </c>
    </row>
    <row r="482" spans="1:7" s="20" customFormat="1">
      <c r="A482" s="32">
        <v>517055014</v>
      </c>
      <c r="B482" s="332" t="s">
        <v>507</v>
      </c>
      <c r="C482" s="332">
        <v>12040041</v>
      </c>
      <c r="D482" s="332" t="s">
        <v>332</v>
      </c>
      <c r="E482" s="297">
        <v>182700</v>
      </c>
      <c r="F482" s="114">
        <v>202500</v>
      </c>
      <c r="G482" s="297">
        <v>202500</v>
      </c>
    </row>
    <row r="483" spans="1:7" s="20" customFormat="1">
      <c r="A483" s="32">
        <v>517055014</v>
      </c>
      <c r="B483" s="332" t="s">
        <v>507</v>
      </c>
      <c r="C483" s="332">
        <v>12040632</v>
      </c>
      <c r="D483" s="332" t="s">
        <v>428</v>
      </c>
      <c r="E483" s="297">
        <v>121800</v>
      </c>
      <c r="F483" s="114">
        <v>135000</v>
      </c>
      <c r="G483" s="297">
        <v>135000</v>
      </c>
    </row>
    <row r="484" spans="1:7" s="20" customFormat="1">
      <c r="A484" s="32">
        <v>517055014</v>
      </c>
      <c r="B484" s="332" t="s">
        <v>507</v>
      </c>
      <c r="C484" s="332">
        <v>12040569</v>
      </c>
      <c r="D484" s="332" t="s">
        <v>509</v>
      </c>
      <c r="E484" s="297">
        <v>121800</v>
      </c>
      <c r="F484" s="114">
        <v>135000</v>
      </c>
      <c r="G484" s="297">
        <v>135000</v>
      </c>
    </row>
    <row r="485" spans="1:7" s="20" customFormat="1">
      <c r="A485" s="32">
        <v>517055014</v>
      </c>
      <c r="B485" s="332" t="s">
        <v>507</v>
      </c>
      <c r="C485" s="332">
        <v>12040604</v>
      </c>
      <c r="D485" s="332" t="s">
        <v>510</v>
      </c>
      <c r="E485" s="297">
        <v>12800</v>
      </c>
      <c r="F485" s="114">
        <v>18000</v>
      </c>
      <c r="G485" s="297">
        <v>18000</v>
      </c>
    </row>
    <row r="486" spans="1:7" s="20" customFormat="1">
      <c r="A486" s="32">
        <v>517055014</v>
      </c>
      <c r="B486" s="332" t="s">
        <v>507</v>
      </c>
      <c r="C486" s="332">
        <v>12040058</v>
      </c>
      <c r="D486" s="332" t="s">
        <v>471</v>
      </c>
      <c r="E486" s="297">
        <v>12800</v>
      </c>
      <c r="F486" s="114">
        <v>18000</v>
      </c>
      <c r="G486" s="297">
        <v>18000</v>
      </c>
    </row>
    <row r="487" spans="1:7" s="20" customFormat="1">
      <c r="A487" s="32">
        <v>517055014</v>
      </c>
      <c r="B487" s="332" t="s">
        <v>507</v>
      </c>
      <c r="C487" s="332">
        <v>12040633</v>
      </c>
      <c r="D487" s="332" t="s">
        <v>431</v>
      </c>
      <c r="E487" s="297">
        <v>60900</v>
      </c>
      <c r="F487" s="114">
        <v>67500</v>
      </c>
      <c r="G487" s="297">
        <v>67500</v>
      </c>
    </row>
    <row r="488" spans="1:7" s="20" customFormat="1">
      <c r="A488" s="32">
        <v>517055014</v>
      </c>
      <c r="B488" s="332" t="s">
        <v>507</v>
      </c>
      <c r="C488" s="332">
        <v>12040058</v>
      </c>
      <c r="D488" s="332" t="s">
        <v>469</v>
      </c>
      <c r="E488" s="297">
        <v>60900</v>
      </c>
      <c r="F488" s="114">
        <v>67500</v>
      </c>
      <c r="G488" s="297">
        <v>67500</v>
      </c>
    </row>
    <row r="489" spans="1:7" s="66" customFormat="1">
      <c r="A489" s="30"/>
      <c r="B489" s="231"/>
      <c r="C489" s="231"/>
      <c r="D489" s="231" t="s">
        <v>242</v>
      </c>
      <c r="E489" s="114">
        <f>SUM(E476:E488)</f>
        <v>9415900</v>
      </c>
      <c r="F489" s="114">
        <f>SUM(F476:F488)</f>
        <v>12200000</v>
      </c>
      <c r="G489" s="114">
        <f>SUM(G476:G488)</f>
        <v>12200000</v>
      </c>
    </row>
    <row r="490" spans="1:7" s="20" customFormat="1">
      <c r="A490" s="32"/>
      <c r="B490" s="332"/>
      <c r="C490" s="332"/>
      <c r="D490" s="332"/>
      <c r="E490" s="297"/>
      <c r="F490" s="114"/>
      <c r="G490" s="297"/>
    </row>
    <row r="491" spans="1:7" s="20" customFormat="1">
      <c r="A491" s="32"/>
      <c r="B491" s="332"/>
      <c r="C491" s="332"/>
      <c r="D491" s="332"/>
      <c r="E491" s="313"/>
      <c r="F491" s="392"/>
      <c r="G491" s="313"/>
    </row>
    <row r="492" spans="1:7" s="20" customFormat="1">
      <c r="A492" s="32">
        <v>517026004</v>
      </c>
      <c r="B492" s="332" t="s">
        <v>210</v>
      </c>
      <c r="C492" s="332">
        <v>12040632</v>
      </c>
      <c r="D492" s="332" t="s">
        <v>428</v>
      </c>
      <c r="E492" s="297">
        <v>44800</v>
      </c>
      <c r="F492" s="114">
        <v>144300</v>
      </c>
      <c r="G492" s="297">
        <v>144300</v>
      </c>
    </row>
    <row r="493" spans="1:7" s="20" customFormat="1">
      <c r="A493" s="32">
        <v>517026004</v>
      </c>
      <c r="B493" s="332" t="s">
        <v>210</v>
      </c>
      <c r="C493" s="332">
        <v>12040604</v>
      </c>
      <c r="D493" s="332" t="s">
        <v>314</v>
      </c>
      <c r="E493" s="297">
        <v>134400</v>
      </c>
      <c r="F493" s="114">
        <v>144300</v>
      </c>
      <c r="G493" s="297">
        <v>144300</v>
      </c>
    </row>
    <row r="494" spans="1:7" s="20" customFormat="1">
      <c r="A494" s="32">
        <v>517026004</v>
      </c>
      <c r="B494" s="332" t="s">
        <v>210</v>
      </c>
      <c r="C494" s="332">
        <v>12040041</v>
      </c>
      <c r="D494" s="332" t="s">
        <v>332</v>
      </c>
      <c r="E494" s="297">
        <v>201600</v>
      </c>
      <c r="F494" s="114">
        <v>216450</v>
      </c>
      <c r="G494" s="297">
        <v>216450</v>
      </c>
    </row>
    <row r="495" spans="1:7" s="20" customFormat="1">
      <c r="A495" s="32">
        <v>517026004</v>
      </c>
      <c r="B495" s="332" t="s">
        <v>210</v>
      </c>
      <c r="C495" s="332">
        <v>12040633</v>
      </c>
      <c r="D495" s="332" t="s">
        <v>431</v>
      </c>
      <c r="E495" s="297">
        <v>22400</v>
      </c>
      <c r="F495" s="114">
        <v>72150</v>
      </c>
      <c r="G495" s="297">
        <v>72150</v>
      </c>
    </row>
    <row r="496" spans="1:7" s="20" customFormat="1">
      <c r="A496" s="32">
        <v>517026004</v>
      </c>
      <c r="B496" s="332" t="s">
        <v>210</v>
      </c>
      <c r="C496" s="332">
        <v>12040569</v>
      </c>
      <c r="D496" s="332" t="s">
        <v>319</v>
      </c>
      <c r="E496" s="297">
        <v>134400</v>
      </c>
      <c r="F496" s="114">
        <v>144300</v>
      </c>
      <c r="G496" s="297">
        <v>144300</v>
      </c>
    </row>
    <row r="497" spans="1:7" s="20" customFormat="1">
      <c r="A497" s="32">
        <v>517026004</v>
      </c>
      <c r="B497" s="332" t="s">
        <v>210</v>
      </c>
      <c r="C497" s="332">
        <v>12040532</v>
      </c>
      <c r="D497" s="332" t="s">
        <v>511</v>
      </c>
      <c r="E497" s="297">
        <v>9408000</v>
      </c>
      <c r="F497" s="114">
        <v>12272750</v>
      </c>
      <c r="G497" s="297">
        <v>12272750</v>
      </c>
    </row>
    <row r="498" spans="1:7" s="20" customFormat="1">
      <c r="A498" s="32">
        <v>517026004</v>
      </c>
      <c r="B498" s="332" t="s">
        <v>210</v>
      </c>
      <c r="C498" s="332">
        <v>12040570</v>
      </c>
      <c r="D498" s="332" t="s">
        <v>312</v>
      </c>
      <c r="E498" s="297">
        <v>44800</v>
      </c>
      <c r="F498" s="114">
        <v>72150</v>
      </c>
      <c r="G498" s="297">
        <v>72150</v>
      </c>
    </row>
    <row r="499" spans="1:7" s="20" customFormat="1">
      <c r="A499" s="32">
        <v>517026004</v>
      </c>
      <c r="B499" s="332" t="s">
        <v>210</v>
      </c>
      <c r="C499" s="332">
        <v>12040040</v>
      </c>
      <c r="D499" s="332" t="s">
        <v>313</v>
      </c>
      <c r="E499" s="297">
        <v>134400</v>
      </c>
      <c r="F499" s="114">
        <v>144300</v>
      </c>
      <c r="G499" s="297">
        <v>144300</v>
      </c>
    </row>
    <row r="500" spans="1:7" s="20" customFormat="1">
      <c r="A500" s="32">
        <v>517026004</v>
      </c>
      <c r="B500" s="332" t="s">
        <v>210</v>
      </c>
      <c r="C500" s="332">
        <v>12040621</v>
      </c>
      <c r="D500" s="332" t="s">
        <v>512</v>
      </c>
      <c r="E500" s="297">
        <v>22400</v>
      </c>
      <c r="F500" s="114">
        <v>72150</v>
      </c>
      <c r="G500" s="297">
        <v>72150</v>
      </c>
    </row>
    <row r="501" spans="1:7" s="20" customFormat="1">
      <c r="A501" s="32">
        <v>517026004</v>
      </c>
      <c r="B501" s="332" t="s">
        <v>210</v>
      </c>
      <c r="C501" s="332">
        <v>12040058</v>
      </c>
      <c r="D501" s="332" t="s">
        <v>322</v>
      </c>
      <c r="E501" s="297">
        <v>22400</v>
      </c>
      <c r="F501" s="114">
        <v>72150</v>
      </c>
      <c r="G501" s="297">
        <v>72150</v>
      </c>
    </row>
    <row r="502" spans="1:7" s="20" customFormat="1">
      <c r="A502" s="32">
        <v>517026004</v>
      </c>
      <c r="B502" s="332" t="s">
        <v>210</v>
      </c>
      <c r="C502" s="332">
        <v>12040619</v>
      </c>
      <c r="D502" s="332" t="s">
        <v>513</v>
      </c>
      <c r="E502" s="297">
        <v>89600</v>
      </c>
      <c r="F502" s="114">
        <v>15000</v>
      </c>
      <c r="G502" s="297">
        <v>15000</v>
      </c>
    </row>
    <row r="503" spans="1:7" s="20" customFormat="1">
      <c r="A503" s="32">
        <v>517026004</v>
      </c>
      <c r="B503" s="332" t="s">
        <v>210</v>
      </c>
      <c r="C503" s="332">
        <v>12040604</v>
      </c>
      <c r="D503" s="332" t="s">
        <v>514</v>
      </c>
      <c r="E503" s="297">
        <v>44800</v>
      </c>
      <c r="F503" s="114">
        <v>15000</v>
      </c>
      <c r="G503" s="297">
        <v>15000</v>
      </c>
    </row>
    <row r="504" spans="1:7" s="20" customFormat="1">
      <c r="A504" s="32">
        <v>517026004</v>
      </c>
      <c r="B504" s="332" t="s">
        <v>210</v>
      </c>
      <c r="C504" s="332">
        <v>12040058</v>
      </c>
      <c r="D504" s="332" t="s">
        <v>515</v>
      </c>
      <c r="E504" s="297">
        <v>44800</v>
      </c>
      <c r="F504" s="114">
        <v>15000</v>
      </c>
      <c r="G504" s="297">
        <v>15000</v>
      </c>
    </row>
    <row r="505" spans="1:7" s="66" customFormat="1">
      <c r="A505" s="30"/>
      <c r="B505" s="231"/>
      <c r="C505" s="231"/>
      <c r="D505" s="231" t="s">
        <v>242</v>
      </c>
      <c r="E505" s="114">
        <f>SUM(E492:E504)</f>
        <v>10348800</v>
      </c>
      <c r="F505" s="114">
        <f>SUM(F492:F504)</f>
        <v>13400000</v>
      </c>
      <c r="G505" s="114">
        <f>SUM(G492:G504)</f>
        <v>13400000</v>
      </c>
    </row>
    <row r="506" spans="1:7" s="20" customFormat="1">
      <c r="A506" s="32"/>
      <c r="B506" s="332"/>
      <c r="C506" s="332"/>
      <c r="D506" s="332"/>
      <c r="E506" s="297"/>
      <c r="F506" s="114"/>
      <c r="G506" s="297"/>
    </row>
    <row r="507" spans="1:7" s="20" customFormat="1">
      <c r="A507" s="32"/>
      <c r="B507" s="332"/>
      <c r="C507" s="332"/>
      <c r="D507" s="332"/>
      <c r="E507" s="297"/>
      <c r="F507" s="114"/>
      <c r="G507" s="297"/>
    </row>
    <row r="508" spans="1:7" s="20" customFormat="1" ht="30">
      <c r="A508" s="32">
        <v>235001001</v>
      </c>
      <c r="B508" s="332" t="s">
        <v>117</v>
      </c>
      <c r="C508" s="332">
        <v>12050027</v>
      </c>
      <c r="D508" s="332" t="s">
        <v>516</v>
      </c>
      <c r="E508" s="297">
        <v>0</v>
      </c>
      <c r="F508" s="114">
        <v>1000000000</v>
      </c>
      <c r="G508" s="297">
        <v>500000000</v>
      </c>
    </row>
    <row r="509" spans="1:7" s="20" customFormat="1" ht="30">
      <c r="A509" s="32">
        <v>235001001</v>
      </c>
      <c r="B509" s="332" t="s">
        <v>117</v>
      </c>
      <c r="C509" s="332">
        <v>12070131</v>
      </c>
      <c r="D509" s="332" t="s">
        <v>517</v>
      </c>
      <c r="E509" s="297">
        <v>0</v>
      </c>
      <c r="F509" s="114">
        <v>200000000</v>
      </c>
      <c r="G509" s="297">
        <v>100000000</v>
      </c>
    </row>
    <row r="510" spans="1:7" s="20" customFormat="1" ht="30">
      <c r="A510" s="32">
        <v>235001001</v>
      </c>
      <c r="B510" s="332" t="s">
        <v>117</v>
      </c>
      <c r="C510" s="332">
        <v>12090005</v>
      </c>
      <c r="D510" s="332" t="s">
        <v>1760</v>
      </c>
      <c r="E510" s="297">
        <v>0</v>
      </c>
      <c r="F510" s="114">
        <v>60000000</v>
      </c>
      <c r="G510" s="297">
        <v>60000000</v>
      </c>
    </row>
    <row r="511" spans="1:7" s="20" customFormat="1" ht="30">
      <c r="A511" s="32">
        <v>235001001</v>
      </c>
      <c r="B511" s="332" t="s">
        <v>117</v>
      </c>
      <c r="C511" s="332"/>
      <c r="D511" s="332" t="s">
        <v>518</v>
      </c>
      <c r="E511" s="297">
        <v>0</v>
      </c>
      <c r="F511" s="114">
        <v>36800000</v>
      </c>
      <c r="G511" s="297">
        <v>36800000</v>
      </c>
    </row>
    <row r="512" spans="1:7" s="20" customFormat="1" ht="30">
      <c r="A512" s="32">
        <v>235001001</v>
      </c>
      <c r="B512" s="332" t="s">
        <v>117</v>
      </c>
      <c r="C512" s="332"/>
      <c r="D512" s="332" t="s">
        <v>1696</v>
      </c>
      <c r="E512" s="297">
        <v>0</v>
      </c>
      <c r="F512" s="114">
        <v>12000000</v>
      </c>
      <c r="G512" s="297">
        <v>12000000</v>
      </c>
    </row>
    <row r="513" spans="1:7" s="66" customFormat="1">
      <c r="A513" s="30"/>
      <c r="B513" s="231"/>
      <c r="C513" s="231"/>
      <c r="D513" s="231" t="s">
        <v>242</v>
      </c>
      <c r="E513" s="114">
        <v>0</v>
      </c>
      <c r="F513" s="114">
        <f>SUM(F508:F512)</f>
        <v>1308800000</v>
      </c>
      <c r="G513" s="114">
        <f>SUM(G508:G512)</f>
        <v>708800000</v>
      </c>
    </row>
    <row r="514" spans="1:7" s="20" customFormat="1">
      <c r="A514" s="32"/>
      <c r="B514" s="332"/>
      <c r="C514" s="332"/>
      <c r="D514" s="332"/>
      <c r="E514" s="297"/>
      <c r="F514" s="114"/>
      <c r="G514" s="297"/>
    </row>
    <row r="515" spans="1:7" s="20" customFormat="1">
      <c r="A515" s="32"/>
      <c r="B515" s="332"/>
      <c r="C515" s="332"/>
      <c r="D515" s="332"/>
      <c r="E515" s="297"/>
      <c r="F515" s="114"/>
      <c r="G515" s="297"/>
    </row>
    <row r="516" spans="1:7" s="20" customFormat="1" ht="30">
      <c r="A516" s="32">
        <v>235016001</v>
      </c>
      <c r="B516" s="332" t="s">
        <v>519</v>
      </c>
      <c r="C516" s="332">
        <v>12040017</v>
      </c>
      <c r="D516" s="332" t="s">
        <v>345</v>
      </c>
      <c r="E516" s="297">
        <v>1500000</v>
      </c>
      <c r="F516" s="114">
        <v>2000000</v>
      </c>
      <c r="G516" s="297">
        <v>2000000</v>
      </c>
    </row>
    <row r="517" spans="1:7" s="20" customFormat="1" ht="30">
      <c r="A517" s="32">
        <v>235016001</v>
      </c>
      <c r="B517" s="332" t="s">
        <v>519</v>
      </c>
      <c r="C517" s="332">
        <v>12040031</v>
      </c>
      <c r="D517" s="332" t="s">
        <v>520</v>
      </c>
      <c r="E517" s="297">
        <v>17737100</v>
      </c>
      <c r="F517" s="114">
        <v>16000000</v>
      </c>
      <c r="G517" s="297">
        <v>16000000</v>
      </c>
    </row>
    <row r="518" spans="1:7" s="20" customFormat="1" ht="30">
      <c r="A518" s="32">
        <v>235016001</v>
      </c>
      <c r="B518" s="332" t="s">
        <v>519</v>
      </c>
      <c r="C518" s="332">
        <v>12040097</v>
      </c>
      <c r="D518" s="332" t="s">
        <v>521</v>
      </c>
      <c r="E518" s="297">
        <v>2000000</v>
      </c>
      <c r="F518" s="114">
        <f>2500000+14115280</f>
        <v>16615280</v>
      </c>
      <c r="G518" s="297">
        <f>2500000+14115280</f>
        <v>16615280</v>
      </c>
    </row>
    <row r="519" spans="1:7" s="20" customFormat="1" ht="30">
      <c r="A519" s="32">
        <v>235016001</v>
      </c>
      <c r="B519" s="332" t="s">
        <v>519</v>
      </c>
      <c r="C519" s="332">
        <v>12050027</v>
      </c>
      <c r="D519" s="332" t="s">
        <v>522</v>
      </c>
      <c r="E519" s="297">
        <v>600000</v>
      </c>
      <c r="F519" s="114">
        <v>0</v>
      </c>
      <c r="G519" s="297">
        <v>0</v>
      </c>
    </row>
    <row r="520" spans="1:7" s="20" customFormat="1" ht="30">
      <c r="A520" s="32">
        <v>235016001</v>
      </c>
      <c r="B520" s="332" t="s">
        <v>519</v>
      </c>
      <c r="C520" s="332">
        <v>12050032</v>
      </c>
      <c r="D520" s="332" t="s">
        <v>523</v>
      </c>
      <c r="E520" s="297">
        <v>150000</v>
      </c>
      <c r="F520" s="114">
        <v>0</v>
      </c>
      <c r="G520" s="297">
        <v>0</v>
      </c>
    </row>
    <row r="521" spans="1:7" s="20" customFormat="1" ht="30">
      <c r="A521" s="32">
        <v>235016001</v>
      </c>
      <c r="B521" s="332" t="s">
        <v>519</v>
      </c>
      <c r="C521" s="332">
        <v>12070002</v>
      </c>
      <c r="D521" s="332" t="s">
        <v>524</v>
      </c>
      <c r="E521" s="297">
        <v>350000</v>
      </c>
      <c r="F521" s="114">
        <v>0</v>
      </c>
      <c r="G521" s="297">
        <v>0</v>
      </c>
    </row>
    <row r="522" spans="1:7" s="20" customFormat="1" ht="30">
      <c r="A522" s="32">
        <v>235016001</v>
      </c>
      <c r="B522" s="332" t="s">
        <v>519</v>
      </c>
      <c r="C522" s="332">
        <v>12070131</v>
      </c>
      <c r="D522" s="332" t="s">
        <v>525</v>
      </c>
      <c r="E522" s="297">
        <v>840000</v>
      </c>
      <c r="F522" s="114">
        <v>0</v>
      </c>
      <c r="G522" s="297">
        <v>0</v>
      </c>
    </row>
    <row r="523" spans="1:7" s="20" customFormat="1" ht="30">
      <c r="A523" s="32">
        <v>235016001</v>
      </c>
      <c r="B523" s="332" t="s">
        <v>519</v>
      </c>
      <c r="C523" s="332">
        <v>12080001</v>
      </c>
      <c r="D523" s="332" t="s">
        <v>526</v>
      </c>
      <c r="E523" s="297">
        <v>2200000</v>
      </c>
      <c r="F523" s="114">
        <v>0</v>
      </c>
      <c r="G523" s="297">
        <v>0</v>
      </c>
    </row>
    <row r="524" spans="1:7" s="20" customFormat="1" ht="30">
      <c r="A524" s="32">
        <v>235016001</v>
      </c>
      <c r="B524" s="332" t="s">
        <v>519</v>
      </c>
      <c r="C524" s="332">
        <v>12080004</v>
      </c>
      <c r="D524" s="332" t="s">
        <v>527</v>
      </c>
      <c r="E524" s="297">
        <v>250000</v>
      </c>
      <c r="F524" s="114">
        <v>0</v>
      </c>
      <c r="G524" s="297">
        <v>0</v>
      </c>
    </row>
    <row r="525" spans="1:7" s="20" customFormat="1" ht="30">
      <c r="A525" s="32">
        <v>235016001</v>
      </c>
      <c r="B525" s="332" t="s">
        <v>519</v>
      </c>
      <c r="C525" s="332">
        <v>12090005</v>
      </c>
      <c r="D525" s="332" t="s">
        <v>528</v>
      </c>
      <c r="E525" s="297">
        <v>1000000</v>
      </c>
      <c r="F525" s="114">
        <v>0</v>
      </c>
      <c r="G525" s="297">
        <v>0</v>
      </c>
    </row>
    <row r="526" spans="1:7" s="66" customFormat="1">
      <c r="A526" s="30"/>
      <c r="B526" s="231"/>
      <c r="C526" s="231"/>
      <c r="D526" s="231" t="s">
        <v>529</v>
      </c>
      <c r="E526" s="114">
        <f>SUM(E516:E525)</f>
        <v>26627100</v>
      </c>
      <c r="F526" s="114">
        <f>SUM(F516:F518)</f>
        <v>34615280</v>
      </c>
      <c r="G526" s="114">
        <f>SUM(G516:G518)</f>
        <v>34615280</v>
      </c>
    </row>
    <row r="527" spans="1:7" s="20" customFormat="1">
      <c r="A527" s="32"/>
      <c r="B527" s="332"/>
      <c r="C527" s="332"/>
      <c r="D527" s="332"/>
      <c r="E527" s="297"/>
      <c r="F527" s="114"/>
      <c r="G527" s="297"/>
    </row>
    <row r="528" spans="1:7" s="20" customFormat="1">
      <c r="A528" s="32"/>
      <c r="B528" s="332"/>
      <c r="C528" s="332"/>
      <c r="D528" s="332"/>
      <c r="E528" s="297"/>
      <c r="F528" s="114"/>
      <c r="G528" s="297"/>
    </row>
    <row r="529" spans="1:7" s="20" customFormat="1">
      <c r="A529" s="32">
        <v>220001001</v>
      </c>
      <c r="B529" s="332" t="s">
        <v>109</v>
      </c>
      <c r="C529" s="332">
        <v>12040017</v>
      </c>
      <c r="D529" s="332" t="s">
        <v>530</v>
      </c>
      <c r="E529" s="297">
        <v>5220000</v>
      </c>
      <c r="F529" s="114"/>
      <c r="G529" s="297">
        <v>5220000</v>
      </c>
    </row>
    <row r="530" spans="1:7" s="20" customFormat="1">
      <c r="A530" s="32">
        <v>220001001</v>
      </c>
      <c r="B530" s="332" t="s">
        <v>109</v>
      </c>
      <c r="C530" s="332">
        <v>12040151</v>
      </c>
      <c r="D530" s="332" t="s">
        <v>380</v>
      </c>
      <c r="E530" s="297">
        <v>12705000</v>
      </c>
      <c r="F530" s="114">
        <v>0</v>
      </c>
      <c r="G530" s="297">
        <v>12705000</v>
      </c>
    </row>
    <row r="531" spans="1:7" s="20" customFormat="1">
      <c r="A531" s="32">
        <v>220001001</v>
      </c>
      <c r="B531" s="332" t="s">
        <v>109</v>
      </c>
      <c r="C531" s="332">
        <v>12040540</v>
      </c>
      <c r="D531" s="332" t="s">
        <v>531</v>
      </c>
      <c r="E531" s="297">
        <v>115500000</v>
      </c>
      <c r="F531" s="114">
        <v>0</v>
      </c>
      <c r="G531" s="297">
        <v>115500000</v>
      </c>
    </row>
    <row r="532" spans="1:7" s="20" customFormat="1">
      <c r="A532" s="32">
        <v>220001001</v>
      </c>
      <c r="B532" s="332" t="s">
        <v>109</v>
      </c>
      <c r="C532" s="332">
        <v>12110002</v>
      </c>
      <c r="D532" s="332" t="s">
        <v>532</v>
      </c>
      <c r="E532" s="297">
        <v>17000000</v>
      </c>
      <c r="F532" s="114">
        <v>17000000</v>
      </c>
      <c r="G532" s="297">
        <v>17000000</v>
      </c>
    </row>
    <row r="533" spans="1:7" s="20" customFormat="1">
      <c r="A533" s="32">
        <v>220001001</v>
      </c>
      <c r="B533" s="332" t="s">
        <v>109</v>
      </c>
      <c r="C533" s="332">
        <v>12060029</v>
      </c>
      <c r="D533" s="332" t="s">
        <v>1753</v>
      </c>
      <c r="E533" s="297">
        <v>288750</v>
      </c>
      <c r="F533" s="114">
        <v>1000000</v>
      </c>
      <c r="G533" s="297">
        <v>1000000</v>
      </c>
    </row>
    <row r="534" spans="1:7" s="20" customFormat="1" ht="30">
      <c r="A534" s="32">
        <v>220001001</v>
      </c>
      <c r="B534" s="332" t="s">
        <v>109</v>
      </c>
      <c r="C534" s="332">
        <v>12020604</v>
      </c>
      <c r="D534" s="332" t="s">
        <v>533</v>
      </c>
      <c r="E534" s="297">
        <v>18480000</v>
      </c>
      <c r="F534" s="114">
        <v>9000000</v>
      </c>
      <c r="G534" s="297">
        <v>9000000</v>
      </c>
    </row>
    <row r="535" spans="1:7" s="20" customFormat="1" ht="30">
      <c r="A535" s="32">
        <v>220001001</v>
      </c>
      <c r="B535" s="332" t="s">
        <v>109</v>
      </c>
      <c r="C535" s="332">
        <v>12080021</v>
      </c>
      <c r="D535" s="332" t="s">
        <v>534</v>
      </c>
      <c r="E535" s="297">
        <v>51975000</v>
      </c>
      <c r="F535" s="114">
        <v>103950000</v>
      </c>
      <c r="G535" s="297">
        <v>103950000</v>
      </c>
    </row>
    <row r="536" spans="1:7" s="20" customFormat="1">
      <c r="A536" s="32">
        <v>220001001</v>
      </c>
      <c r="B536" s="332" t="s">
        <v>109</v>
      </c>
      <c r="C536" s="332">
        <v>12080013</v>
      </c>
      <c r="D536" s="332" t="s">
        <v>535</v>
      </c>
      <c r="E536" s="297">
        <v>46200000</v>
      </c>
      <c r="F536" s="114">
        <v>0</v>
      </c>
      <c r="G536" s="297">
        <v>46200000</v>
      </c>
    </row>
    <row r="537" spans="1:7" s="20" customFormat="1">
      <c r="A537" s="32">
        <v>220001001</v>
      </c>
      <c r="B537" s="332" t="s">
        <v>109</v>
      </c>
      <c r="C537" s="332">
        <v>12120001</v>
      </c>
      <c r="D537" s="332" t="s">
        <v>536</v>
      </c>
      <c r="E537" s="297">
        <v>2600000000</v>
      </c>
      <c r="F537" s="114">
        <v>1040607692.55</v>
      </c>
      <c r="G537" s="297">
        <v>640607692.54999995</v>
      </c>
    </row>
    <row r="538" spans="1:7" s="20" customFormat="1">
      <c r="A538" s="32">
        <v>220001001</v>
      </c>
      <c r="B538" s="332" t="s">
        <v>109</v>
      </c>
      <c r="C538" s="332">
        <v>12140001</v>
      </c>
      <c r="D538" s="332" t="s">
        <v>537</v>
      </c>
      <c r="E538" s="297">
        <v>80850000</v>
      </c>
      <c r="F538" s="114">
        <v>10000000</v>
      </c>
      <c r="G538" s="297">
        <v>10000000</v>
      </c>
    </row>
    <row r="539" spans="1:7" s="20" customFormat="1">
      <c r="A539" s="32">
        <v>220001001</v>
      </c>
      <c r="B539" s="332" t="s">
        <v>109</v>
      </c>
      <c r="C539" s="332">
        <v>12140002</v>
      </c>
      <c r="D539" s="332" t="s">
        <v>538</v>
      </c>
      <c r="E539" s="297">
        <v>90956250</v>
      </c>
      <c r="F539" s="114">
        <v>10000000</v>
      </c>
      <c r="G539" s="297">
        <v>10000000</v>
      </c>
    </row>
    <row r="540" spans="1:7" s="20" customFormat="1">
      <c r="A540" s="32">
        <v>220001001</v>
      </c>
      <c r="B540" s="332" t="s">
        <v>109</v>
      </c>
      <c r="C540" s="332">
        <v>12060099</v>
      </c>
      <c r="D540" s="332" t="s">
        <v>539</v>
      </c>
      <c r="E540" s="297">
        <v>8000000000</v>
      </c>
      <c r="F540" s="114">
        <v>8000000000</v>
      </c>
      <c r="G540" s="297">
        <v>6000000000</v>
      </c>
    </row>
    <row r="541" spans="1:7" s="20" customFormat="1">
      <c r="A541" s="32">
        <v>220001001</v>
      </c>
      <c r="B541" s="332" t="s">
        <v>109</v>
      </c>
      <c r="C541" s="332"/>
      <c r="D541" s="332" t="s">
        <v>540</v>
      </c>
      <c r="E541" s="297"/>
      <c r="F541" s="114">
        <v>960000000</v>
      </c>
      <c r="G541" s="297">
        <v>960000000</v>
      </c>
    </row>
    <row r="542" spans="1:7" s="20" customFormat="1" ht="30">
      <c r="A542" s="32">
        <v>220001001</v>
      </c>
      <c r="B542" s="332" t="s">
        <v>109</v>
      </c>
      <c r="C542" s="332"/>
      <c r="D542" s="332" t="s">
        <v>2182</v>
      </c>
      <c r="E542" s="297">
        <v>0</v>
      </c>
      <c r="F542" s="114">
        <v>3698660103.9499998</v>
      </c>
      <c r="G542" s="297">
        <f>3698660103.95+100080000</f>
        <v>3798740103.9499998</v>
      </c>
    </row>
    <row r="543" spans="1:7" s="66" customFormat="1">
      <c r="A543" s="30"/>
      <c r="B543" s="231"/>
      <c r="C543" s="231"/>
      <c r="D543" s="231" t="s">
        <v>242</v>
      </c>
      <c r="E543" s="114">
        <f>SUM(E529:E540)</f>
        <v>11039175000</v>
      </c>
      <c r="F543" s="114">
        <f>SUM(F530:F542)</f>
        <v>13850217796.5</v>
      </c>
      <c r="G543" s="114">
        <f>SUM(G529:G542)</f>
        <v>11729922796.5</v>
      </c>
    </row>
    <row r="544" spans="1:7" s="20" customFormat="1">
      <c r="A544" s="32"/>
      <c r="B544" s="332"/>
      <c r="C544" s="332"/>
      <c r="D544" s="332"/>
      <c r="E544" s="297"/>
      <c r="F544" s="114"/>
      <c r="G544" s="297"/>
    </row>
    <row r="545" spans="1:9" s="20" customFormat="1">
      <c r="A545" s="32"/>
      <c r="B545" s="332"/>
      <c r="C545" s="332"/>
      <c r="D545" s="332"/>
      <c r="E545" s="297"/>
      <c r="F545" s="114"/>
      <c r="G545" s="297"/>
    </row>
    <row r="546" spans="1:9" s="20" customFormat="1">
      <c r="A546" s="32"/>
      <c r="B546" s="332"/>
      <c r="C546" s="332"/>
      <c r="D546" s="332"/>
      <c r="E546" s="314"/>
      <c r="F546" s="114"/>
      <c r="G546" s="297"/>
    </row>
    <row r="547" spans="1:9" s="20" customFormat="1">
      <c r="A547" s="32">
        <v>220008001</v>
      </c>
      <c r="B547" s="332" t="s">
        <v>212</v>
      </c>
      <c r="C547" s="32">
        <v>12011007</v>
      </c>
      <c r="D547" s="32" t="s">
        <v>541</v>
      </c>
      <c r="E547" s="28">
        <v>11833389</v>
      </c>
      <c r="F547" s="28">
        <v>150833389</v>
      </c>
      <c r="G547" s="28">
        <v>150833389</v>
      </c>
    </row>
    <row r="548" spans="1:9" s="20" customFormat="1">
      <c r="A548" s="32">
        <v>220008001</v>
      </c>
      <c r="B548" s="332" t="s">
        <v>212</v>
      </c>
      <c r="C548" s="32">
        <v>12010106</v>
      </c>
      <c r="D548" s="32" t="s">
        <v>542</v>
      </c>
      <c r="E548" s="28">
        <v>837160538</v>
      </c>
      <c r="F548" s="28">
        <v>1500105678.2044001</v>
      </c>
      <c r="G548" s="28">
        <f>1500105678.2044-500000000</f>
        <v>1000105678.2044001</v>
      </c>
    </row>
    <row r="549" spans="1:9" s="20" customFormat="1">
      <c r="A549" s="32">
        <v>220008001</v>
      </c>
      <c r="B549" s="332" t="s">
        <v>212</v>
      </c>
      <c r="C549" s="32">
        <v>12010103</v>
      </c>
      <c r="D549" s="32" t="s">
        <v>543</v>
      </c>
      <c r="E549" s="28">
        <v>2229461445</v>
      </c>
      <c r="F549" s="28">
        <v>943335282.96000004</v>
      </c>
      <c r="G549" s="28">
        <v>943335282.96000004</v>
      </c>
    </row>
    <row r="550" spans="1:9" s="20" customFormat="1">
      <c r="A550" s="32">
        <v>220008001</v>
      </c>
      <c r="B550" s="332" t="s">
        <v>212</v>
      </c>
      <c r="C550" s="32">
        <v>12010102</v>
      </c>
      <c r="D550" s="32" t="s">
        <v>544</v>
      </c>
      <c r="E550" s="28">
        <v>2610716769</v>
      </c>
      <c r="F550" s="28">
        <v>1234219375.3199999</v>
      </c>
      <c r="G550" s="28">
        <f>1234219375.32+5630000000-500000000</f>
        <v>6364219375.3199997</v>
      </c>
    </row>
    <row r="551" spans="1:9" s="20" customFormat="1">
      <c r="A551" s="32">
        <v>220008001</v>
      </c>
      <c r="B551" s="332" t="s">
        <v>212</v>
      </c>
      <c r="C551" s="32">
        <v>12010101</v>
      </c>
      <c r="D551" s="32" t="s">
        <v>545</v>
      </c>
      <c r="E551" s="28">
        <v>6809975578</v>
      </c>
      <c r="F551" s="28">
        <v>7236451372.1485815</v>
      </c>
      <c r="G551" s="28">
        <v>4736451372.1485796</v>
      </c>
    </row>
    <row r="552" spans="1:9" s="20" customFormat="1">
      <c r="A552" s="32">
        <v>220008001</v>
      </c>
      <c r="B552" s="332" t="s">
        <v>212</v>
      </c>
      <c r="C552" s="32">
        <v>12010105</v>
      </c>
      <c r="D552" s="32" t="s">
        <v>546</v>
      </c>
      <c r="E552" s="28">
        <v>5920273019</v>
      </c>
      <c r="F552" s="28">
        <v>5920273019</v>
      </c>
      <c r="G552" s="28">
        <v>4920273019</v>
      </c>
    </row>
    <row r="553" spans="1:9" s="20" customFormat="1">
      <c r="A553" s="32">
        <v>220008001</v>
      </c>
      <c r="B553" s="332" t="s">
        <v>212</v>
      </c>
      <c r="C553" s="32">
        <v>12020109</v>
      </c>
      <c r="D553" s="32" t="s">
        <v>547</v>
      </c>
      <c r="E553" s="28">
        <v>2810026159</v>
      </c>
      <c r="F553" s="28">
        <v>5160026159</v>
      </c>
      <c r="G553" s="28">
        <v>4160026159</v>
      </c>
      <c r="H553" s="511"/>
      <c r="I553" s="512"/>
    </row>
    <row r="554" spans="1:9" s="20" customFormat="1">
      <c r="A554" s="32">
        <v>220008001</v>
      </c>
      <c r="B554" s="332" t="s">
        <v>212</v>
      </c>
      <c r="C554" s="32">
        <v>12010110</v>
      </c>
      <c r="D554" s="32" t="s">
        <v>548</v>
      </c>
      <c r="E554" s="28">
        <v>76545419</v>
      </c>
      <c r="F554" s="28">
        <v>76545419</v>
      </c>
      <c r="G554" s="28">
        <v>76545419</v>
      </c>
      <c r="H554" s="303"/>
    </row>
    <row r="555" spans="1:9" s="20" customFormat="1">
      <c r="A555" s="32">
        <v>220008001</v>
      </c>
      <c r="B555" s="332" t="s">
        <v>212</v>
      </c>
      <c r="C555" s="32">
        <v>12010112</v>
      </c>
      <c r="D555" s="32" t="s">
        <v>549</v>
      </c>
      <c r="E555" s="28">
        <v>76545419</v>
      </c>
      <c r="F555" s="28">
        <v>26545419</v>
      </c>
      <c r="G555" s="28">
        <v>26545419</v>
      </c>
    </row>
    <row r="556" spans="1:9" s="20" customFormat="1">
      <c r="A556" s="32">
        <v>220008001</v>
      </c>
      <c r="B556" s="332" t="s">
        <v>212</v>
      </c>
      <c r="C556" s="32">
        <v>12010111</v>
      </c>
      <c r="D556" s="32" t="s">
        <v>550</v>
      </c>
      <c r="E556" s="28">
        <v>635310272</v>
      </c>
      <c r="F556" s="28">
        <v>700310272</v>
      </c>
      <c r="G556" s="28">
        <v>700310272</v>
      </c>
    </row>
    <row r="557" spans="1:9" s="20" customFormat="1">
      <c r="A557" s="32">
        <v>220008001</v>
      </c>
      <c r="B557" s="332" t="s">
        <v>212</v>
      </c>
      <c r="C557" s="32">
        <v>12010113</v>
      </c>
      <c r="D557" s="32" t="s">
        <v>551</v>
      </c>
      <c r="E557" s="28">
        <v>6710556</v>
      </c>
      <c r="F557" s="28">
        <v>41612450.865343496</v>
      </c>
      <c r="G557" s="28">
        <v>41612450.865343496</v>
      </c>
    </row>
    <row r="558" spans="1:9" s="20" customFormat="1">
      <c r="A558" s="32">
        <v>220008001</v>
      </c>
      <c r="B558" s="332" t="s">
        <v>212</v>
      </c>
      <c r="C558" s="32">
        <v>12010114</v>
      </c>
      <c r="D558" s="32" t="s">
        <v>552</v>
      </c>
      <c r="E558" s="28">
        <v>511172739</v>
      </c>
      <c r="F558" s="28">
        <v>400735597.57411498</v>
      </c>
      <c r="G558" s="28">
        <v>400735597.57411498</v>
      </c>
    </row>
    <row r="559" spans="1:9" s="20" customFormat="1">
      <c r="A559" s="32">
        <v>220008001</v>
      </c>
      <c r="B559" s="332" t="s">
        <v>212</v>
      </c>
      <c r="C559" s="32">
        <v>12010117</v>
      </c>
      <c r="D559" s="32" t="s">
        <v>553</v>
      </c>
      <c r="E559" s="28">
        <v>71020580</v>
      </c>
      <c r="F559" s="28">
        <v>80020580</v>
      </c>
      <c r="G559" s="28">
        <v>80020580</v>
      </c>
    </row>
    <row r="560" spans="1:9" s="20" customFormat="1">
      <c r="A560" s="32">
        <v>220008001</v>
      </c>
      <c r="B560" s="332" t="s">
        <v>212</v>
      </c>
      <c r="C560" s="32">
        <v>12010116</v>
      </c>
      <c r="D560" s="32" t="s">
        <v>554</v>
      </c>
      <c r="E560" s="28">
        <v>566229052</v>
      </c>
      <c r="F560" s="28">
        <v>300871841.97821498</v>
      </c>
      <c r="G560" s="28">
        <v>300871841.97821498</v>
      </c>
    </row>
    <row r="561" spans="1:7" s="20" customFormat="1">
      <c r="A561" s="32">
        <v>220008001</v>
      </c>
      <c r="B561" s="332" t="s">
        <v>212</v>
      </c>
      <c r="C561" s="32">
        <v>12020133</v>
      </c>
      <c r="D561" s="32" t="s">
        <v>555</v>
      </c>
      <c r="E561" s="28">
        <v>75113388</v>
      </c>
      <c r="F561" s="28">
        <v>1222500000</v>
      </c>
      <c r="G561" s="28">
        <f>1222500000-500000000-4800000</f>
        <v>717700000</v>
      </c>
    </row>
    <row r="562" spans="1:7" s="20" customFormat="1">
      <c r="A562" s="32">
        <v>220008001</v>
      </c>
      <c r="B562" s="332" t="s">
        <v>212</v>
      </c>
      <c r="C562" s="32">
        <v>12021316</v>
      </c>
      <c r="D562" s="32" t="s">
        <v>556</v>
      </c>
      <c r="E562" s="28">
        <v>3024337</v>
      </c>
      <c r="F562" s="28">
        <v>22500000</v>
      </c>
      <c r="G562" s="28">
        <v>22500000</v>
      </c>
    </row>
    <row r="563" spans="1:7" s="20" customFormat="1">
      <c r="A563" s="32">
        <v>220008001</v>
      </c>
      <c r="B563" s="332" t="s">
        <v>212</v>
      </c>
      <c r="C563" s="32">
        <v>12020140</v>
      </c>
      <c r="D563" s="32" t="s">
        <v>557</v>
      </c>
      <c r="E563" s="28">
        <v>38582971</v>
      </c>
      <c r="F563" s="28">
        <v>24000000</v>
      </c>
      <c r="G563" s="28">
        <v>24000000</v>
      </c>
    </row>
    <row r="564" spans="1:7" s="20" customFormat="1">
      <c r="A564" s="32">
        <v>220008001</v>
      </c>
      <c r="B564" s="332" t="s">
        <v>212</v>
      </c>
      <c r="C564" s="32">
        <v>12020132</v>
      </c>
      <c r="D564" s="32" t="s">
        <v>558</v>
      </c>
      <c r="E564" s="28">
        <v>394724593</v>
      </c>
      <c r="F564" s="28">
        <v>437500000</v>
      </c>
      <c r="G564" s="28">
        <v>437500000</v>
      </c>
    </row>
    <row r="565" spans="1:7" s="20" customFormat="1">
      <c r="A565" s="32">
        <v>220008001</v>
      </c>
      <c r="B565" s="332" t="s">
        <v>212</v>
      </c>
      <c r="C565" s="32">
        <v>12020141</v>
      </c>
      <c r="D565" s="32" t="s">
        <v>559</v>
      </c>
      <c r="E565" s="28">
        <v>789379801</v>
      </c>
      <c r="F565" s="28">
        <v>225000000</v>
      </c>
      <c r="G565" s="28">
        <v>225000000</v>
      </c>
    </row>
    <row r="566" spans="1:7" s="20" customFormat="1">
      <c r="A566" s="32">
        <v>220008001</v>
      </c>
      <c r="B566" s="332" t="s">
        <v>212</v>
      </c>
      <c r="C566" s="32">
        <v>12020445</v>
      </c>
      <c r="D566" s="32" t="s">
        <v>560</v>
      </c>
      <c r="E566" s="28">
        <v>1333952</v>
      </c>
      <c r="F566" s="28">
        <v>3750000</v>
      </c>
      <c r="G566" s="28">
        <v>3750000</v>
      </c>
    </row>
    <row r="567" spans="1:7" s="20" customFormat="1">
      <c r="A567" s="32">
        <v>220008001</v>
      </c>
      <c r="B567" s="332" t="s">
        <v>212</v>
      </c>
      <c r="C567" s="32">
        <v>12021325</v>
      </c>
      <c r="D567" s="32" t="s">
        <v>561</v>
      </c>
      <c r="E567" s="28">
        <v>198157320</v>
      </c>
      <c r="F567" s="28">
        <v>164045000</v>
      </c>
      <c r="G567" s="28">
        <v>164045000</v>
      </c>
    </row>
    <row r="568" spans="1:7" s="20" customFormat="1">
      <c r="A568" s="32">
        <v>220008001</v>
      </c>
      <c r="B568" s="332" t="s">
        <v>212</v>
      </c>
      <c r="C568" s="32">
        <v>12021347</v>
      </c>
      <c r="D568" s="32" t="s">
        <v>562</v>
      </c>
      <c r="E568" s="28">
        <v>30450437</v>
      </c>
      <c r="F568" s="28">
        <v>18750000</v>
      </c>
      <c r="G568" s="28">
        <v>18750000</v>
      </c>
    </row>
    <row r="569" spans="1:7" s="20" customFormat="1">
      <c r="A569" s="32">
        <v>220008001</v>
      </c>
      <c r="B569" s="332" t="s">
        <v>212</v>
      </c>
      <c r="C569" s="32">
        <v>12021377</v>
      </c>
      <c r="D569" s="32" t="s">
        <v>563</v>
      </c>
      <c r="E569" s="28">
        <v>202982155</v>
      </c>
      <c r="F569" s="28">
        <v>400339059.73996198</v>
      </c>
      <c r="G569" s="28">
        <v>200339059.73996201</v>
      </c>
    </row>
    <row r="570" spans="1:7" s="20" customFormat="1">
      <c r="A570" s="32">
        <v>220008001</v>
      </c>
      <c r="B570" s="332" t="s">
        <v>212</v>
      </c>
      <c r="C570" s="32">
        <v>12020640</v>
      </c>
      <c r="D570" s="32" t="s">
        <v>564</v>
      </c>
      <c r="E570" s="28">
        <v>15746774</v>
      </c>
      <c r="F570" s="28">
        <v>750000</v>
      </c>
      <c r="G570" s="28">
        <v>750000</v>
      </c>
    </row>
    <row r="571" spans="1:7" s="20" customFormat="1">
      <c r="A571" s="32">
        <v>220008001</v>
      </c>
      <c r="B571" s="332" t="s">
        <v>212</v>
      </c>
      <c r="C571" s="32">
        <v>12020630</v>
      </c>
      <c r="D571" s="139" t="s">
        <v>565</v>
      </c>
      <c r="E571" s="28">
        <v>81619836</v>
      </c>
      <c r="F571" s="28">
        <v>56250000</v>
      </c>
      <c r="G571" s="28">
        <v>56250000</v>
      </c>
    </row>
    <row r="572" spans="1:7" s="20" customFormat="1">
      <c r="A572" s="32">
        <v>220008001</v>
      </c>
      <c r="B572" s="332" t="s">
        <v>212</v>
      </c>
      <c r="C572" s="32">
        <v>12020633</v>
      </c>
      <c r="D572" s="32" t="s">
        <v>1754</v>
      </c>
      <c r="E572" s="28">
        <v>11217720</v>
      </c>
      <c r="F572" s="28">
        <v>11250000</v>
      </c>
      <c r="G572" s="28">
        <v>11250000</v>
      </c>
    </row>
    <row r="573" spans="1:7" s="20" customFormat="1">
      <c r="A573" s="32">
        <v>220008001</v>
      </c>
      <c r="B573" s="332" t="s">
        <v>212</v>
      </c>
      <c r="C573" s="32"/>
      <c r="D573" s="32" t="s">
        <v>566</v>
      </c>
      <c r="E573" s="28">
        <v>0</v>
      </c>
      <c r="F573" s="28">
        <v>266250000</v>
      </c>
      <c r="G573" s="28">
        <v>266250000</v>
      </c>
    </row>
    <row r="574" spans="1:7" s="20" customFormat="1">
      <c r="A574" s="32">
        <v>220008001</v>
      </c>
      <c r="B574" s="332" t="s">
        <v>212</v>
      </c>
      <c r="C574" s="32"/>
      <c r="D574" s="32" t="s">
        <v>567</v>
      </c>
      <c r="E574" s="28"/>
      <c r="F574" s="28">
        <v>70000000</v>
      </c>
      <c r="G574" s="28">
        <v>70000000</v>
      </c>
    </row>
    <row r="575" spans="1:7" s="66" customFormat="1">
      <c r="A575" s="30"/>
      <c r="B575" s="231"/>
      <c r="C575" s="30" t="s">
        <v>68</v>
      </c>
      <c r="D575" s="23" t="s">
        <v>242</v>
      </c>
      <c r="E575" s="114">
        <v>25015314218</v>
      </c>
      <c r="F575" s="114">
        <v>26624769915.790619</v>
      </c>
      <c r="G575" s="114">
        <f>SUM(G547:G574)</f>
        <v>26119969915.790619</v>
      </c>
    </row>
    <row r="576" spans="1:7" s="20" customFormat="1">
      <c r="A576" s="32"/>
      <c r="B576" s="332"/>
      <c r="C576" s="332"/>
      <c r="D576" s="332"/>
      <c r="E576" s="297"/>
      <c r="F576" s="114"/>
      <c r="G576" s="297"/>
    </row>
    <row r="577" spans="1:7" s="20" customFormat="1">
      <c r="A577" s="32"/>
      <c r="B577" s="332"/>
      <c r="C577" s="332"/>
      <c r="D577" s="332"/>
      <c r="E577" s="297"/>
      <c r="F577" s="114"/>
      <c r="G577" s="297"/>
    </row>
    <row r="578" spans="1:7" s="20" customFormat="1">
      <c r="A578" s="332"/>
      <c r="B578" s="332"/>
      <c r="C578" s="332"/>
      <c r="D578" s="332"/>
      <c r="E578" s="313"/>
      <c r="F578" s="392"/>
      <c r="G578" s="313"/>
    </row>
    <row r="579" spans="1:7" s="20" customFormat="1">
      <c r="A579" s="32">
        <v>521001001</v>
      </c>
      <c r="B579" s="332" t="s">
        <v>568</v>
      </c>
      <c r="C579" s="332">
        <v>12020036</v>
      </c>
      <c r="D579" s="332" t="s">
        <v>569</v>
      </c>
      <c r="E579" s="297">
        <v>1752300</v>
      </c>
      <c r="F579" s="114">
        <v>1095600</v>
      </c>
      <c r="G579" s="297">
        <v>1095600</v>
      </c>
    </row>
    <row r="580" spans="1:7" s="20" customFormat="1">
      <c r="A580" s="32">
        <v>521001001</v>
      </c>
      <c r="B580" s="332" t="s">
        <v>568</v>
      </c>
      <c r="C580" s="332">
        <v>12040041</v>
      </c>
      <c r="D580" s="332" t="s">
        <v>570</v>
      </c>
      <c r="E580" s="297">
        <v>77000000</v>
      </c>
      <c r="F580" s="114">
        <v>112662198</v>
      </c>
      <c r="G580" s="297">
        <v>112662198</v>
      </c>
    </row>
    <row r="581" spans="1:7" s="20" customFormat="1" ht="30">
      <c r="A581" s="32">
        <v>521001001</v>
      </c>
      <c r="B581" s="332" t="s">
        <v>568</v>
      </c>
      <c r="C581" s="332">
        <v>1240043</v>
      </c>
      <c r="D581" s="332" t="s">
        <v>571</v>
      </c>
      <c r="E581" s="297">
        <v>1028621</v>
      </c>
      <c r="F581" s="114">
        <v>1665972</v>
      </c>
      <c r="G581" s="297">
        <v>1665972</v>
      </c>
    </row>
    <row r="582" spans="1:7" s="20" customFormat="1" ht="30">
      <c r="A582" s="32">
        <v>521001001</v>
      </c>
      <c r="B582" s="332" t="s">
        <v>568</v>
      </c>
      <c r="C582" s="332">
        <v>12040050</v>
      </c>
      <c r="D582" s="332" t="s">
        <v>572</v>
      </c>
      <c r="E582" s="297">
        <v>165000</v>
      </c>
      <c r="F582" s="114">
        <v>0</v>
      </c>
      <c r="G582" s="297">
        <v>0</v>
      </c>
    </row>
    <row r="583" spans="1:7" s="20" customFormat="1">
      <c r="A583" s="32">
        <v>521001001</v>
      </c>
      <c r="B583" s="332" t="s">
        <v>568</v>
      </c>
      <c r="C583" s="332">
        <v>12040303</v>
      </c>
      <c r="D583" s="332" t="s">
        <v>573</v>
      </c>
      <c r="E583" s="297">
        <v>4400000</v>
      </c>
      <c r="F583" s="114">
        <v>8237856</v>
      </c>
      <c r="G583" s="297">
        <v>8237856</v>
      </c>
    </row>
    <row r="584" spans="1:7" s="20" customFormat="1" ht="30">
      <c r="A584" s="32">
        <v>521001001</v>
      </c>
      <c r="B584" s="332" t="s">
        <v>568</v>
      </c>
      <c r="C584" s="332">
        <v>12040307</v>
      </c>
      <c r="D584" s="332" t="s">
        <v>574</v>
      </c>
      <c r="E584" s="297">
        <v>100733</v>
      </c>
      <c r="F584" s="114">
        <v>454080</v>
      </c>
      <c r="G584" s="297">
        <v>454080</v>
      </c>
    </row>
    <row r="585" spans="1:7" s="20" customFormat="1" ht="30">
      <c r="A585" s="32">
        <v>521001001</v>
      </c>
      <c r="B585" s="332" t="s">
        <v>568</v>
      </c>
      <c r="C585" s="332">
        <v>12040308</v>
      </c>
      <c r="D585" s="332" t="s">
        <v>575</v>
      </c>
      <c r="E585" s="297">
        <v>7919450</v>
      </c>
      <c r="F585" s="114">
        <v>4959240</v>
      </c>
      <c r="G585" s="297">
        <v>4959240</v>
      </c>
    </row>
    <row r="586" spans="1:7" s="20" customFormat="1" ht="30">
      <c r="A586" s="32">
        <v>521001001</v>
      </c>
      <c r="B586" s="332" t="s">
        <v>568</v>
      </c>
      <c r="C586" s="332">
        <v>12040310</v>
      </c>
      <c r="D586" s="332" t="s">
        <v>576</v>
      </c>
      <c r="E586" s="297">
        <v>220000000</v>
      </c>
      <c r="F586" s="114">
        <v>267769751.06639999</v>
      </c>
      <c r="G586" s="297">
        <v>267769751.06639999</v>
      </c>
    </row>
    <row r="587" spans="1:7" s="20" customFormat="1">
      <c r="A587" s="32">
        <v>521001001</v>
      </c>
      <c r="B587" s="332" t="s">
        <v>568</v>
      </c>
      <c r="C587" s="332">
        <v>12040317</v>
      </c>
      <c r="D587" s="332" t="s">
        <v>1786</v>
      </c>
      <c r="E587" s="297">
        <v>2759453</v>
      </c>
      <c r="F587" s="114">
        <v>3327984</v>
      </c>
      <c r="G587" s="297">
        <v>3327984</v>
      </c>
    </row>
    <row r="588" spans="1:7" s="20" customFormat="1">
      <c r="A588" s="32">
        <v>521001001</v>
      </c>
      <c r="B588" s="332" t="s">
        <v>568</v>
      </c>
      <c r="C588" s="332">
        <v>12040410</v>
      </c>
      <c r="D588" s="332" t="s">
        <v>577</v>
      </c>
      <c r="E588" s="297">
        <v>4906882</v>
      </c>
      <c r="F588" s="114">
        <v>8358477.5999999996</v>
      </c>
      <c r="G588" s="297">
        <v>8358477.5999999996</v>
      </c>
    </row>
    <row r="589" spans="1:7" s="20" customFormat="1">
      <c r="A589" s="32">
        <v>521001001</v>
      </c>
      <c r="B589" s="332" t="s">
        <v>568</v>
      </c>
      <c r="C589" s="332">
        <v>12040431</v>
      </c>
      <c r="D589" s="332" t="s">
        <v>578</v>
      </c>
      <c r="E589" s="297">
        <v>20113685</v>
      </c>
      <c r="F589" s="114">
        <v>18418408.800000001</v>
      </c>
      <c r="G589" s="297">
        <v>18418408.800000001</v>
      </c>
    </row>
    <row r="590" spans="1:7" s="20" customFormat="1">
      <c r="A590" s="32">
        <v>521001001</v>
      </c>
      <c r="B590" s="332" t="s">
        <v>568</v>
      </c>
      <c r="C590" s="332">
        <v>12040440</v>
      </c>
      <c r="D590" s="332" t="s">
        <v>579</v>
      </c>
      <c r="E590" s="297">
        <v>13595223</v>
      </c>
      <c r="F590" s="114">
        <v>23895960</v>
      </c>
      <c r="G590" s="297">
        <v>23895960</v>
      </c>
    </row>
    <row r="591" spans="1:7" s="20" customFormat="1" ht="30">
      <c r="A591" s="32">
        <v>521001001</v>
      </c>
      <c r="B591" s="332" t="s">
        <v>568</v>
      </c>
      <c r="C591" s="332">
        <v>12040527</v>
      </c>
      <c r="D591" s="332" t="s">
        <v>580</v>
      </c>
      <c r="E591" s="297">
        <v>1194179</v>
      </c>
      <c r="F591" s="114">
        <v>1873344</v>
      </c>
      <c r="G591" s="297">
        <v>1873344</v>
      </c>
    </row>
    <row r="592" spans="1:7" s="20" customFormat="1">
      <c r="A592" s="32">
        <v>521001001</v>
      </c>
      <c r="B592" s="332" t="s">
        <v>568</v>
      </c>
      <c r="C592" s="332">
        <v>12040579</v>
      </c>
      <c r="D592" s="332" t="s">
        <v>581</v>
      </c>
      <c r="E592" s="297">
        <v>41310929</v>
      </c>
      <c r="F592" s="114">
        <v>62276227.200000003</v>
      </c>
      <c r="G592" s="297">
        <v>62276227.200000003</v>
      </c>
    </row>
    <row r="593" spans="1:7" s="20" customFormat="1">
      <c r="A593" s="32">
        <v>521001001</v>
      </c>
      <c r="B593" s="332" t="s">
        <v>568</v>
      </c>
      <c r="C593" s="332">
        <v>12040607</v>
      </c>
      <c r="D593" s="332" t="s">
        <v>1779</v>
      </c>
      <c r="E593" s="297">
        <v>313390</v>
      </c>
      <c r="F593" s="114">
        <v>7801200</v>
      </c>
      <c r="G593" s="297">
        <v>7801200</v>
      </c>
    </row>
    <row r="594" spans="1:7" s="20" customFormat="1">
      <c r="A594" s="32">
        <v>521001001</v>
      </c>
      <c r="B594" s="332" t="s">
        <v>568</v>
      </c>
      <c r="C594" s="332">
        <v>12060171</v>
      </c>
      <c r="D594" s="332" t="s">
        <v>582</v>
      </c>
      <c r="E594" s="297">
        <v>30264444</v>
      </c>
      <c r="F594" s="114">
        <v>41109525.600000001</v>
      </c>
      <c r="G594" s="297">
        <v>41109525.600000001</v>
      </c>
    </row>
    <row r="595" spans="1:7" s="20" customFormat="1" ht="30">
      <c r="A595" s="32">
        <v>521001001</v>
      </c>
      <c r="B595" s="332" t="s">
        <v>568</v>
      </c>
      <c r="C595" s="332">
        <v>12060171</v>
      </c>
      <c r="D595" s="332" t="s">
        <v>583</v>
      </c>
      <c r="E595" s="297">
        <v>11035091</v>
      </c>
      <c r="F595" s="114">
        <v>22877025.600000001</v>
      </c>
      <c r="G595" s="297">
        <v>22877025.600000001</v>
      </c>
    </row>
    <row r="596" spans="1:7" s="20" customFormat="1" ht="30">
      <c r="A596" s="32">
        <v>521001001</v>
      </c>
      <c r="B596" s="332" t="s">
        <v>568</v>
      </c>
      <c r="C596" s="332">
        <v>12040495</v>
      </c>
      <c r="D596" s="332" t="s">
        <v>584</v>
      </c>
      <c r="E596" s="297">
        <v>200531000</v>
      </c>
      <c r="F596" s="114">
        <v>43561729.200000003</v>
      </c>
      <c r="G596" s="297">
        <v>43561729.200000003</v>
      </c>
    </row>
    <row r="597" spans="1:7" s="20" customFormat="1">
      <c r="A597" s="32">
        <v>521001001</v>
      </c>
      <c r="B597" s="332" t="s">
        <v>568</v>
      </c>
      <c r="C597" s="332">
        <v>12040496</v>
      </c>
      <c r="D597" s="332" t="s">
        <v>585</v>
      </c>
      <c r="E597" s="297">
        <v>21632485</v>
      </c>
      <c r="F597" s="114">
        <v>5736720</v>
      </c>
      <c r="G597" s="297">
        <v>5736720</v>
      </c>
    </row>
    <row r="598" spans="1:7" s="20" customFormat="1">
      <c r="A598" s="32">
        <v>521001001</v>
      </c>
      <c r="B598" s="332" t="s">
        <v>568</v>
      </c>
      <c r="C598" s="332">
        <v>12040497</v>
      </c>
      <c r="D598" s="332" t="s">
        <v>1785</v>
      </c>
      <c r="E598" s="297">
        <v>713900</v>
      </c>
      <c r="F598" s="114">
        <v>594000</v>
      </c>
      <c r="G598" s="297">
        <v>594000</v>
      </c>
    </row>
    <row r="599" spans="1:7" s="20" customFormat="1">
      <c r="A599" s="30"/>
      <c r="B599" s="231"/>
      <c r="C599" s="231"/>
      <c r="D599" s="231" t="s">
        <v>242</v>
      </c>
      <c r="E599" s="114">
        <f>SUM(E579:E598)</f>
        <v>660736765</v>
      </c>
      <c r="F599" s="114">
        <f>SUM(F579:F598)</f>
        <v>636675299.06640005</v>
      </c>
      <c r="G599" s="297">
        <f>SUM(G579:G598)</f>
        <v>636675299.06640005</v>
      </c>
    </row>
    <row r="600" spans="1:7" s="20" customFormat="1">
      <c r="A600" s="332"/>
      <c r="B600" s="332"/>
      <c r="C600" s="332"/>
      <c r="D600" s="332"/>
      <c r="E600" s="313"/>
      <c r="F600" s="392"/>
      <c r="G600" s="313"/>
    </row>
    <row r="601" spans="1:7" s="20" customFormat="1">
      <c r="A601" s="32"/>
      <c r="B601" s="332"/>
      <c r="C601" s="332"/>
      <c r="D601" s="332"/>
      <c r="E601" s="297"/>
      <c r="F601" s="114"/>
      <c r="G601" s="297"/>
    </row>
    <row r="602" spans="1:7" s="20" customFormat="1" ht="30">
      <c r="A602" s="32">
        <v>521106001</v>
      </c>
      <c r="B602" s="332" t="s">
        <v>586</v>
      </c>
      <c r="C602" s="332">
        <v>12040618</v>
      </c>
      <c r="D602" s="332" t="s">
        <v>587</v>
      </c>
      <c r="E602" s="297">
        <v>875000</v>
      </c>
      <c r="F602" s="114">
        <v>1000000</v>
      </c>
      <c r="G602" s="297">
        <v>1000000</v>
      </c>
    </row>
    <row r="603" spans="1:7" s="20" customFormat="1" ht="30">
      <c r="A603" s="32">
        <v>521106001</v>
      </c>
      <c r="B603" s="332" t="s">
        <v>586</v>
      </c>
      <c r="C603" s="332">
        <v>12040424</v>
      </c>
      <c r="D603" s="332" t="s">
        <v>511</v>
      </c>
      <c r="E603" s="297">
        <v>11480000</v>
      </c>
      <c r="F603" s="114">
        <v>11480000</v>
      </c>
      <c r="G603" s="297">
        <v>11480000</v>
      </c>
    </row>
    <row r="604" spans="1:7" s="20" customFormat="1" ht="30">
      <c r="A604" s="32">
        <v>521106001</v>
      </c>
      <c r="B604" s="332" t="s">
        <v>586</v>
      </c>
      <c r="C604" s="332">
        <v>12040621</v>
      </c>
      <c r="D604" s="332" t="s">
        <v>499</v>
      </c>
      <c r="E604" s="297">
        <v>3879000</v>
      </c>
      <c r="F604" s="114">
        <v>4180000</v>
      </c>
      <c r="G604" s="297">
        <v>4180000</v>
      </c>
    </row>
    <row r="605" spans="1:7" s="20" customFormat="1" ht="30">
      <c r="A605" s="32">
        <v>521106001</v>
      </c>
      <c r="B605" s="332" t="s">
        <v>586</v>
      </c>
      <c r="C605" s="332">
        <v>12104028</v>
      </c>
      <c r="D605" s="332" t="s">
        <v>588</v>
      </c>
      <c r="E605" s="297">
        <v>4000000</v>
      </c>
      <c r="F605" s="114">
        <v>4000000</v>
      </c>
      <c r="G605" s="297">
        <v>4000000</v>
      </c>
    </row>
    <row r="606" spans="1:7" s="20" customFormat="1" ht="30">
      <c r="A606" s="32">
        <v>521106001</v>
      </c>
      <c r="B606" s="332" t="s">
        <v>586</v>
      </c>
      <c r="C606" s="332">
        <v>12040620</v>
      </c>
      <c r="D606" s="332" t="s">
        <v>589</v>
      </c>
      <c r="E606" s="297">
        <v>32848200</v>
      </c>
      <c r="F606" s="114">
        <f>32848200+47000000</f>
        <v>79848200</v>
      </c>
      <c r="G606" s="297">
        <f>32848200+47000000</f>
        <v>79848200</v>
      </c>
    </row>
    <row r="607" spans="1:7" s="20" customFormat="1" ht="30">
      <c r="A607" s="32">
        <v>521106001</v>
      </c>
      <c r="B607" s="332" t="s">
        <v>586</v>
      </c>
      <c r="C607" s="332">
        <v>12040316</v>
      </c>
      <c r="D607" s="332" t="s">
        <v>590</v>
      </c>
      <c r="E607" s="297">
        <v>5818500</v>
      </c>
      <c r="F607" s="114">
        <v>6270000</v>
      </c>
      <c r="G607" s="297">
        <v>6270000</v>
      </c>
    </row>
    <row r="608" spans="1:7" s="20" customFormat="1" ht="30">
      <c r="A608" s="32">
        <v>521106001</v>
      </c>
      <c r="B608" s="332" t="s">
        <v>586</v>
      </c>
      <c r="C608" s="332">
        <v>12040570</v>
      </c>
      <c r="D608" s="332" t="s">
        <v>312</v>
      </c>
      <c r="E608" s="297">
        <v>3879000</v>
      </c>
      <c r="F608" s="114">
        <v>4180000</v>
      </c>
      <c r="G608" s="297">
        <v>4180000</v>
      </c>
    </row>
    <row r="609" spans="1:7" s="20" customFormat="1" ht="30">
      <c r="A609" s="32">
        <v>521106001</v>
      </c>
      <c r="B609" s="332" t="s">
        <v>586</v>
      </c>
      <c r="C609" s="332">
        <v>12040619</v>
      </c>
      <c r="D609" s="332" t="s">
        <v>591</v>
      </c>
      <c r="E609" s="297">
        <v>1463000</v>
      </c>
      <c r="F609" s="114">
        <v>1500000</v>
      </c>
      <c r="G609" s="297">
        <v>1500000</v>
      </c>
    </row>
    <row r="610" spans="1:7" s="20" customFormat="1" ht="30">
      <c r="A610" s="32">
        <v>521106001</v>
      </c>
      <c r="B610" s="332" t="s">
        <v>586</v>
      </c>
      <c r="C610" s="332">
        <v>12040171</v>
      </c>
      <c r="D610" s="332" t="s">
        <v>592</v>
      </c>
      <c r="E610" s="297">
        <v>17612750</v>
      </c>
      <c r="F610" s="114">
        <v>17612750</v>
      </c>
      <c r="G610" s="297">
        <v>17612750</v>
      </c>
    </row>
    <row r="611" spans="1:7" s="20" customFormat="1" ht="30">
      <c r="A611" s="32">
        <v>521106001</v>
      </c>
      <c r="B611" s="332" t="s">
        <v>586</v>
      </c>
      <c r="C611" s="332">
        <v>12040582</v>
      </c>
      <c r="D611" s="332" t="s">
        <v>319</v>
      </c>
      <c r="E611" s="297">
        <v>3879000</v>
      </c>
      <c r="F611" s="114">
        <v>4180000</v>
      </c>
      <c r="G611" s="297">
        <v>4180000</v>
      </c>
    </row>
    <row r="612" spans="1:7" s="20" customFormat="1" ht="30">
      <c r="A612" s="32">
        <v>521106001</v>
      </c>
      <c r="B612" s="332" t="s">
        <v>586</v>
      </c>
      <c r="C612" s="332">
        <v>12104085</v>
      </c>
      <c r="D612" s="332" t="s">
        <v>593</v>
      </c>
      <c r="E612" s="297">
        <v>1941250</v>
      </c>
      <c r="F612" s="114">
        <v>1941250</v>
      </c>
      <c r="G612" s="297">
        <v>1941250</v>
      </c>
    </row>
    <row r="613" spans="1:7" s="20" customFormat="1" ht="30">
      <c r="A613" s="32">
        <v>521106001</v>
      </c>
      <c r="B613" s="332" t="s">
        <v>586</v>
      </c>
      <c r="C613" s="332">
        <v>12104086</v>
      </c>
      <c r="D613" s="332" t="s">
        <v>594</v>
      </c>
      <c r="E613" s="297">
        <v>3879000</v>
      </c>
      <c r="F613" s="114">
        <v>2180000</v>
      </c>
      <c r="G613" s="297">
        <v>2180000</v>
      </c>
    </row>
    <row r="614" spans="1:7" s="20" customFormat="1" ht="30">
      <c r="A614" s="32">
        <v>521106001</v>
      </c>
      <c r="B614" s="332" t="s">
        <v>586</v>
      </c>
      <c r="C614" s="332">
        <v>12040522</v>
      </c>
      <c r="D614" s="332" t="s">
        <v>595</v>
      </c>
      <c r="E614" s="297">
        <v>1330000</v>
      </c>
      <c r="F614" s="114">
        <v>2000000</v>
      </c>
      <c r="G614" s="297">
        <v>2000000</v>
      </c>
    </row>
    <row r="615" spans="1:7" s="20" customFormat="1" ht="30">
      <c r="A615" s="32">
        <v>521106001</v>
      </c>
      <c r="B615" s="332" t="s">
        <v>586</v>
      </c>
      <c r="C615" s="332">
        <v>12104107</v>
      </c>
      <c r="D615" s="332" t="s">
        <v>596</v>
      </c>
      <c r="E615" s="297">
        <v>9697500</v>
      </c>
      <c r="F615" s="114">
        <v>2180000</v>
      </c>
      <c r="G615" s="297">
        <v>2180000</v>
      </c>
    </row>
    <row r="616" spans="1:7" s="20" customFormat="1" ht="30">
      <c r="A616" s="32">
        <v>521106001</v>
      </c>
      <c r="B616" s="332" t="s">
        <v>586</v>
      </c>
      <c r="C616" s="332">
        <v>12040426</v>
      </c>
      <c r="D616" s="332" t="s">
        <v>597</v>
      </c>
      <c r="E616" s="297">
        <v>5320000</v>
      </c>
      <c r="F616" s="114">
        <v>8000000</v>
      </c>
      <c r="G616" s="297">
        <v>8000000</v>
      </c>
    </row>
    <row r="617" spans="1:7" s="20" customFormat="1" ht="30">
      <c r="A617" s="32">
        <v>521106001</v>
      </c>
      <c r="B617" s="332" t="s">
        <v>586</v>
      </c>
      <c r="C617" s="332">
        <v>12040515</v>
      </c>
      <c r="D617" s="332" t="s">
        <v>598</v>
      </c>
      <c r="E617" s="297">
        <v>500000</v>
      </c>
      <c r="F617" s="114">
        <v>500000</v>
      </c>
      <c r="G617" s="297">
        <v>500000</v>
      </c>
    </row>
    <row r="618" spans="1:7" s="20" customFormat="1" ht="30">
      <c r="A618" s="32">
        <v>521106001</v>
      </c>
      <c r="B618" s="332" t="s">
        <v>586</v>
      </c>
      <c r="C618" s="332">
        <v>12040622</v>
      </c>
      <c r="D618" s="332" t="s">
        <v>599</v>
      </c>
      <c r="E618" s="297">
        <v>5042700</v>
      </c>
      <c r="F618" s="114">
        <v>4180000</v>
      </c>
      <c r="G618" s="297">
        <v>4180000</v>
      </c>
    </row>
    <row r="619" spans="1:7" s="20" customFormat="1" ht="30">
      <c r="A619" s="32">
        <v>521106001</v>
      </c>
      <c r="B619" s="332" t="s">
        <v>586</v>
      </c>
      <c r="C619" s="332">
        <v>12040586</v>
      </c>
      <c r="D619" s="332" t="s">
        <v>600</v>
      </c>
      <c r="E619" s="297">
        <v>3879000</v>
      </c>
      <c r="F619" s="114">
        <f>4180000+566708</f>
        <v>4746708</v>
      </c>
      <c r="G619" s="297">
        <f>4180000+566708</f>
        <v>4746708</v>
      </c>
    </row>
    <row r="620" spans="1:7" s="20" customFormat="1" ht="30">
      <c r="A620" s="32">
        <v>521106001</v>
      </c>
      <c r="B620" s="332" t="s">
        <v>586</v>
      </c>
      <c r="C620" s="332">
        <v>12040630</v>
      </c>
      <c r="D620" s="332" t="s">
        <v>601</v>
      </c>
      <c r="E620" s="297">
        <v>5985000</v>
      </c>
      <c r="F620" s="114">
        <v>8250000</v>
      </c>
      <c r="G620" s="297">
        <v>8250000</v>
      </c>
    </row>
    <row r="621" spans="1:7" s="20" customFormat="1" ht="30">
      <c r="A621" s="32">
        <v>521106001</v>
      </c>
      <c r="B621" s="332" t="s">
        <v>586</v>
      </c>
      <c r="C621" s="332">
        <v>12040052</v>
      </c>
      <c r="D621" s="332" t="s">
        <v>348</v>
      </c>
      <c r="E621" s="297">
        <v>57705000</v>
      </c>
      <c r="F621" s="114">
        <v>67707000</v>
      </c>
      <c r="G621" s="297">
        <v>67707000</v>
      </c>
    </row>
    <row r="622" spans="1:7" s="20" customFormat="1" ht="30">
      <c r="A622" s="32">
        <v>521106001</v>
      </c>
      <c r="B622" s="332" t="s">
        <v>586</v>
      </c>
      <c r="C622" s="332">
        <v>12040041</v>
      </c>
      <c r="D622" s="332" t="s">
        <v>602</v>
      </c>
      <c r="E622" s="297">
        <v>3879000</v>
      </c>
      <c r="F622" s="114">
        <v>4180000</v>
      </c>
      <c r="G622" s="297">
        <v>4180000</v>
      </c>
    </row>
    <row r="623" spans="1:7" s="20" customFormat="1" ht="30">
      <c r="A623" s="32">
        <v>521106001</v>
      </c>
      <c r="B623" s="332" t="s">
        <v>586</v>
      </c>
      <c r="C623" s="332">
        <v>12040030</v>
      </c>
      <c r="D623" s="332" t="s">
        <v>603</v>
      </c>
      <c r="E623" s="297">
        <v>6206400</v>
      </c>
      <c r="F623" s="114">
        <v>8360000</v>
      </c>
      <c r="G623" s="297">
        <v>8360000</v>
      </c>
    </row>
    <row r="624" spans="1:7" s="20" customFormat="1" ht="30">
      <c r="A624" s="32">
        <v>521106001</v>
      </c>
      <c r="B624" s="332" t="s">
        <v>586</v>
      </c>
      <c r="C624" s="332">
        <v>12040019</v>
      </c>
      <c r="D624" s="332" t="s">
        <v>604</v>
      </c>
      <c r="E624" s="297">
        <v>157500</v>
      </c>
      <c r="F624" s="114">
        <v>157500</v>
      </c>
      <c r="G624" s="297">
        <v>157500</v>
      </c>
    </row>
    <row r="625" spans="1:7" s="66" customFormat="1">
      <c r="A625" s="30"/>
      <c r="B625" s="231"/>
      <c r="C625" s="231"/>
      <c r="D625" s="231" t="s">
        <v>242</v>
      </c>
      <c r="E625" s="114">
        <f>SUM(E602:E624)</f>
        <v>191256800</v>
      </c>
      <c r="F625" s="114">
        <f>SUM(F602:F624)</f>
        <v>248633408</v>
      </c>
      <c r="G625" s="114">
        <f>SUM(G602:G624)</f>
        <v>248633408</v>
      </c>
    </row>
    <row r="626" spans="1:7" s="20" customFormat="1">
      <c r="A626" s="32"/>
      <c r="B626" s="332"/>
      <c r="C626" s="332"/>
      <c r="D626" s="332"/>
      <c r="E626" s="297"/>
      <c r="F626" s="114"/>
      <c r="G626" s="297"/>
    </row>
    <row r="627" spans="1:7" s="20" customFormat="1">
      <c r="A627" s="332"/>
      <c r="B627" s="332"/>
      <c r="C627" s="332"/>
      <c r="D627" s="332"/>
      <c r="E627" s="313"/>
      <c r="F627" s="392"/>
      <c r="G627" s="313"/>
    </row>
    <row r="628" spans="1:7" s="20" customFormat="1" ht="30">
      <c r="A628" s="32">
        <v>521104001</v>
      </c>
      <c r="B628" s="332" t="s">
        <v>605</v>
      </c>
      <c r="C628" s="332">
        <v>12040041</v>
      </c>
      <c r="D628" s="332" t="s">
        <v>332</v>
      </c>
      <c r="E628" s="297">
        <v>451500</v>
      </c>
      <c r="F628" s="114">
        <v>774075</v>
      </c>
      <c r="G628" s="297">
        <v>774075</v>
      </c>
    </row>
    <row r="629" spans="1:7" s="20" customFormat="1" ht="30">
      <c r="A629" s="32">
        <v>521104001</v>
      </c>
      <c r="B629" s="332" t="s">
        <v>605</v>
      </c>
      <c r="C629" s="332">
        <v>12040052</v>
      </c>
      <c r="D629" s="332" t="s">
        <v>606</v>
      </c>
      <c r="E629" s="297">
        <v>24903354</v>
      </c>
      <c r="F629" s="114">
        <v>30148522</v>
      </c>
      <c r="G629" s="297">
        <v>30148522</v>
      </c>
    </row>
    <row r="630" spans="1:7" s="20" customFormat="1" ht="30">
      <c r="A630" s="32">
        <v>521104001</v>
      </c>
      <c r="B630" s="332" t="s">
        <v>605</v>
      </c>
      <c r="C630" s="332">
        <v>12040279</v>
      </c>
      <c r="D630" s="332" t="s">
        <v>406</v>
      </c>
      <c r="E630" s="297">
        <v>395850</v>
      </c>
      <c r="F630" s="114">
        <v>454431.5</v>
      </c>
      <c r="G630" s="297">
        <v>454431.5</v>
      </c>
    </row>
    <row r="631" spans="1:7" s="20" customFormat="1" ht="30">
      <c r="A631" s="32">
        <v>521104001</v>
      </c>
      <c r="B631" s="332" t="s">
        <v>605</v>
      </c>
      <c r="C631" s="332">
        <v>12040316</v>
      </c>
      <c r="D631" s="332" t="s">
        <v>310</v>
      </c>
      <c r="E631" s="297">
        <v>1105532</v>
      </c>
      <c r="F631" s="114">
        <v>1371362</v>
      </c>
      <c r="G631" s="297">
        <v>1371362</v>
      </c>
    </row>
    <row r="632" spans="1:7" s="20" customFormat="1" ht="30">
      <c r="A632" s="32">
        <v>521104001</v>
      </c>
      <c r="B632" s="332" t="s">
        <v>605</v>
      </c>
      <c r="C632" s="332">
        <v>12040424</v>
      </c>
      <c r="D632" s="332" t="s">
        <v>607</v>
      </c>
      <c r="E632" s="297">
        <v>2625000</v>
      </c>
      <c r="F632" s="114">
        <v>4887500</v>
      </c>
      <c r="G632" s="297">
        <v>4887500</v>
      </c>
    </row>
    <row r="633" spans="1:7" s="20" customFormat="1" ht="30">
      <c r="A633" s="32">
        <v>521104001</v>
      </c>
      <c r="B633" s="332" t="s">
        <v>605</v>
      </c>
      <c r="C633" s="332">
        <v>12040426</v>
      </c>
      <c r="D633" s="332" t="s">
        <v>597</v>
      </c>
      <c r="E633" s="297">
        <v>358312</v>
      </c>
      <c r="F633" s="114">
        <v>376228</v>
      </c>
      <c r="G633" s="297">
        <v>376228</v>
      </c>
    </row>
    <row r="634" spans="1:7" s="20" customFormat="1" ht="30">
      <c r="A634" s="32">
        <v>521104001</v>
      </c>
      <c r="B634" s="332" t="s">
        <v>605</v>
      </c>
      <c r="C634" s="332">
        <v>12040522</v>
      </c>
      <c r="D634" s="332" t="s">
        <v>608</v>
      </c>
      <c r="E634" s="297">
        <v>250425</v>
      </c>
      <c r="F634" s="114">
        <v>487989</v>
      </c>
      <c r="G634" s="297">
        <v>487989</v>
      </c>
    </row>
    <row r="635" spans="1:7" s="20" customFormat="1" ht="30">
      <c r="A635" s="32">
        <v>521104001</v>
      </c>
      <c r="B635" s="332" t="s">
        <v>605</v>
      </c>
      <c r="C635" s="332">
        <v>12040569</v>
      </c>
      <c r="D635" s="332" t="s">
        <v>319</v>
      </c>
      <c r="E635" s="297">
        <v>330750</v>
      </c>
      <c r="F635" s="114">
        <v>396900</v>
      </c>
      <c r="G635" s="297">
        <v>396900</v>
      </c>
    </row>
    <row r="636" spans="1:7" s="20" customFormat="1" ht="30">
      <c r="A636" s="32">
        <v>521104001</v>
      </c>
      <c r="B636" s="332" t="s">
        <v>605</v>
      </c>
      <c r="C636" s="332">
        <v>12040570</v>
      </c>
      <c r="D636" s="332" t="s">
        <v>312</v>
      </c>
      <c r="E636" s="297">
        <v>487085</v>
      </c>
      <c r="F636" s="114">
        <v>787085</v>
      </c>
      <c r="G636" s="297">
        <v>787085</v>
      </c>
    </row>
    <row r="637" spans="1:7" s="20" customFormat="1" ht="30">
      <c r="A637" s="32">
        <v>521104001</v>
      </c>
      <c r="B637" s="332" t="s">
        <v>605</v>
      </c>
      <c r="C637" s="332">
        <v>12040619</v>
      </c>
      <c r="D637" s="332" t="s">
        <v>609</v>
      </c>
      <c r="E637" s="297">
        <v>358916</v>
      </c>
      <c r="F637" s="114">
        <v>658916</v>
      </c>
      <c r="G637" s="297">
        <v>658916</v>
      </c>
    </row>
    <row r="638" spans="1:7" s="20" customFormat="1" ht="30">
      <c r="A638" s="32">
        <v>521104001</v>
      </c>
      <c r="B638" s="332" t="s">
        <v>605</v>
      </c>
      <c r="C638" s="332">
        <v>12040632</v>
      </c>
      <c r="D638" s="332" t="s">
        <v>610</v>
      </c>
      <c r="E638" s="297">
        <v>342577</v>
      </c>
      <c r="F638" s="114">
        <v>542547</v>
      </c>
      <c r="G638" s="297">
        <v>542547</v>
      </c>
    </row>
    <row r="639" spans="1:7" s="20" customFormat="1" ht="30">
      <c r="A639" s="32">
        <v>521104001</v>
      </c>
      <c r="B639" s="332" t="s">
        <v>605</v>
      </c>
      <c r="C639" s="332">
        <v>12040630</v>
      </c>
      <c r="D639" s="332" t="s">
        <v>601</v>
      </c>
      <c r="E639" s="297">
        <v>720300</v>
      </c>
      <c r="F639" s="114">
        <v>1220300</v>
      </c>
      <c r="G639" s="297">
        <v>1220300</v>
      </c>
    </row>
    <row r="640" spans="1:7" s="20" customFormat="1" ht="30">
      <c r="A640" s="32">
        <v>521104001</v>
      </c>
      <c r="B640" s="332" t="s">
        <v>605</v>
      </c>
      <c r="C640" s="332">
        <v>12040631</v>
      </c>
      <c r="D640" s="332" t="s">
        <v>611</v>
      </c>
      <c r="E640" s="297">
        <v>253916</v>
      </c>
      <c r="F640" s="114">
        <v>253916</v>
      </c>
      <c r="G640" s="297">
        <v>253916</v>
      </c>
    </row>
    <row r="641" spans="1:7" s="20" customFormat="1" ht="30">
      <c r="A641" s="32">
        <v>521104001</v>
      </c>
      <c r="B641" s="332" t="s">
        <v>605</v>
      </c>
      <c r="C641" s="332">
        <v>12090005</v>
      </c>
      <c r="D641" s="332" t="s">
        <v>612</v>
      </c>
      <c r="E641" s="297">
        <v>159862</v>
      </c>
      <c r="F641" s="114">
        <v>275500</v>
      </c>
      <c r="G641" s="297">
        <v>275500</v>
      </c>
    </row>
    <row r="642" spans="1:7" s="20" customFormat="1" ht="30">
      <c r="A642" s="32">
        <v>521104001</v>
      </c>
      <c r="B642" s="332" t="s">
        <v>605</v>
      </c>
      <c r="C642" s="332">
        <v>12070005</v>
      </c>
      <c r="D642" s="332" t="s">
        <v>613</v>
      </c>
      <c r="E642" s="297">
        <v>196796</v>
      </c>
      <c r="F642" s="114">
        <v>186956</v>
      </c>
      <c r="G642" s="297">
        <v>186956</v>
      </c>
    </row>
    <row r="643" spans="1:7" s="66" customFormat="1">
      <c r="A643" s="30"/>
      <c r="B643" s="231"/>
      <c r="C643" s="231"/>
      <c r="D643" s="231" t="s">
        <v>242</v>
      </c>
      <c r="E643" s="114">
        <f>SUM(E628:E642)</f>
        <v>32940175</v>
      </c>
      <c r="F643" s="114">
        <f>SUM(F628:F642)</f>
        <v>42822227.5</v>
      </c>
      <c r="G643" s="114">
        <f>SUM(G628:G642)</f>
        <v>42822227.5</v>
      </c>
    </row>
    <row r="644" spans="1:7" s="20" customFormat="1">
      <c r="A644" s="32"/>
      <c r="B644" s="332"/>
      <c r="C644" s="332"/>
      <c r="D644" s="332"/>
      <c r="E644" s="314"/>
      <c r="F644" s="114"/>
      <c r="G644" s="297"/>
    </row>
    <row r="645" spans="1:7" s="20" customFormat="1">
      <c r="A645" s="332"/>
      <c r="B645" s="332"/>
      <c r="C645" s="332"/>
      <c r="D645" s="332"/>
      <c r="E645" s="313"/>
      <c r="F645" s="392"/>
      <c r="G645" s="313"/>
    </row>
    <row r="646" spans="1:7" s="20" customFormat="1" ht="30">
      <c r="A646" s="32">
        <v>521114001</v>
      </c>
      <c r="B646" s="332" t="s">
        <v>614</v>
      </c>
      <c r="C646" s="332">
        <v>12040424</v>
      </c>
      <c r="D646" s="332" t="s">
        <v>615</v>
      </c>
      <c r="E646" s="297">
        <v>1000000</v>
      </c>
      <c r="F646" s="114">
        <v>1050000</v>
      </c>
      <c r="G646" s="297">
        <v>1050000</v>
      </c>
    </row>
    <row r="647" spans="1:7" s="20" customFormat="1" ht="30">
      <c r="A647" s="32">
        <v>521114001</v>
      </c>
      <c r="B647" s="332" t="s">
        <v>614</v>
      </c>
      <c r="C647" s="332">
        <v>12040621</v>
      </c>
      <c r="D647" s="332" t="s">
        <v>511</v>
      </c>
      <c r="E647" s="297">
        <v>1280000</v>
      </c>
      <c r="F647" s="114">
        <v>5120000</v>
      </c>
      <c r="G647" s="297">
        <v>5120000</v>
      </c>
    </row>
    <row r="648" spans="1:7" s="20" customFormat="1" ht="30">
      <c r="A648" s="32">
        <v>521114001</v>
      </c>
      <c r="B648" s="332" t="s">
        <v>614</v>
      </c>
      <c r="C648" s="332">
        <v>12040316</v>
      </c>
      <c r="D648" s="332" t="s">
        <v>499</v>
      </c>
      <c r="E648" s="297">
        <v>200000</v>
      </c>
      <c r="F648" s="114">
        <v>210000</v>
      </c>
      <c r="G648" s="297">
        <v>210000</v>
      </c>
    </row>
    <row r="649" spans="1:7" s="20" customFormat="1" ht="30">
      <c r="A649" s="32">
        <v>521114001</v>
      </c>
      <c r="B649" s="332" t="s">
        <v>614</v>
      </c>
      <c r="C649" s="332">
        <v>12040570</v>
      </c>
      <c r="D649" s="332" t="s">
        <v>616</v>
      </c>
      <c r="E649" s="297">
        <v>100000</v>
      </c>
      <c r="F649" s="114">
        <v>105000</v>
      </c>
      <c r="G649" s="297">
        <v>105000</v>
      </c>
    </row>
    <row r="650" spans="1:7" s="20" customFormat="1" ht="30">
      <c r="A650" s="32">
        <v>521114001</v>
      </c>
      <c r="B650" s="332" t="s">
        <v>614</v>
      </c>
      <c r="C650" s="332">
        <v>12040619</v>
      </c>
      <c r="D650" s="332" t="s">
        <v>457</v>
      </c>
      <c r="E650" s="297">
        <v>200000</v>
      </c>
      <c r="F650" s="114">
        <v>210000</v>
      </c>
      <c r="G650" s="297">
        <v>210000</v>
      </c>
    </row>
    <row r="651" spans="1:7" s="20" customFormat="1" ht="30">
      <c r="A651" s="32">
        <v>521114001</v>
      </c>
      <c r="B651" s="332" t="s">
        <v>614</v>
      </c>
      <c r="C651" s="332">
        <v>12040176</v>
      </c>
      <c r="D651" s="332" t="s">
        <v>617</v>
      </c>
      <c r="E651" s="297">
        <v>300000</v>
      </c>
      <c r="F651" s="114">
        <v>315000</v>
      </c>
      <c r="G651" s="297">
        <v>315000</v>
      </c>
    </row>
    <row r="652" spans="1:7" s="20" customFormat="1" ht="30">
      <c r="A652" s="32">
        <v>521114001</v>
      </c>
      <c r="B652" s="332" t="s">
        <v>614</v>
      </c>
      <c r="C652" s="332">
        <v>12040586</v>
      </c>
      <c r="D652" s="332" t="s">
        <v>319</v>
      </c>
      <c r="E652" s="297">
        <v>200000</v>
      </c>
      <c r="F652" s="114">
        <v>210000</v>
      </c>
      <c r="G652" s="297">
        <v>210000</v>
      </c>
    </row>
    <row r="653" spans="1:7" s="20" customFormat="1" ht="30">
      <c r="A653" s="32">
        <v>521114001</v>
      </c>
      <c r="B653" s="332" t="s">
        <v>614</v>
      </c>
      <c r="C653" s="332">
        <v>12040522</v>
      </c>
      <c r="D653" s="332" t="s">
        <v>594</v>
      </c>
      <c r="E653" s="297">
        <v>3000000</v>
      </c>
      <c r="F653" s="114">
        <v>3150000</v>
      </c>
      <c r="G653" s="297">
        <v>3150000</v>
      </c>
    </row>
    <row r="654" spans="1:7" s="20" customFormat="1" ht="30">
      <c r="A654" s="32">
        <v>521114001</v>
      </c>
      <c r="B654" s="332" t="s">
        <v>614</v>
      </c>
      <c r="C654" s="332">
        <v>12060175</v>
      </c>
      <c r="D654" s="332" t="s">
        <v>595</v>
      </c>
      <c r="E654" s="297">
        <v>200000</v>
      </c>
      <c r="F654" s="114">
        <v>210000</v>
      </c>
      <c r="G654" s="297">
        <v>210000</v>
      </c>
    </row>
    <row r="655" spans="1:7" s="20" customFormat="1" ht="30">
      <c r="A655" s="32">
        <v>521114001</v>
      </c>
      <c r="B655" s="332" t="s">
        <v>614</v>
      </c>
      <c r="C655" s="332">
        <v>12040426</v>
      </c>
      <c r="D655" s="332" t="s">
        <v>596</v>
      </c>
      <c r="E655" s="297">
        <v>1100000</v>
      </c>
      <c r="F655" s="114">
        <v>1155000</v>
      </c>
      <c r="G655" s="297">
        <v>1155000</v>
      </c>
    </row>
    <row r="656" spans="1:7" s="20" customFormat="1" ht="30">
      <c r="A656" s="32">
        <v>521114001</v>
      </c>
      <c r="B656" s="332" t="s">
        <v>614</v>
      </c>
      <c r="C656" s="332">
        <v>12040622</v>
      </c>
      <c r="D656" s="332" t="s">
        <v>597</v>
      </c>
      <c r="E656" s="297">
        <v>340000</v>
      </c>
      <c r="F656" s="114">
        <v>357000</v>
      </c>
      <c r="G656" s="297">
        <v>357000</v>
      </c>
    </row>
    <row r="657" spans="1:7" s="20" customFormat="1" ht="30">
      <c r="A657" s="32">
        <v>521114001</v>
      </c>
      <c r="B657" s="332" t="s">
        <v>614</v>
      </c>
      <c r="C657" s="332">
        <v>12060174</v>
      </c>
      <c r="D657" s="332" t="s">
        <v>599</v>
      </c>
      <c r="E657" s="297">
        <v>300000</v>
      </c>
      <c r="F657" s="114">
        <v>315000</v>
      </c>
      <c r="G657" s="297">
        <v>315000</v>
      </c>
    </row>
    <row r="658" spans="1:7" s="20" customFormat="1" ht="30">
      <c r="A658" s="32">
        <v>521114001</v>
      </c>
      <c r="B658" s="332" t="s">
        <v>614</v>
      </c>
      <c r="C658" s="332">
        <v>12040630</v>
      </c>
      <c r="D658" s="332" t="s">
        <v>618</v>
      </c>
      <c r="E658" s="297">
        <v>700000</v>
      </c>
      <c r="F658" s="114">
        <v>735000</v>
      </c>
      <c r="G658" s="297">
        <v>735000</v>
      </c>
    </row>
    <row r="659" spans="1:7" s="20" customFormat="1" ht="30">
      <c r="A659" s="32">
        <v>521114001</v>
      </c>
      <c r="B659" s="332" t="s">
        <v>614</v>
      </c>
      <c r="C659" s="332">
        <v>12040052</v>
      </c>
      <c r="D659" s="332" t="s">
        <v>601</v>
      </c>
      <c r="E659" s="297">
        <v>1100000</v>
      </c>
      <c r="F659" s="114">
        <v>1155000</v>
      </c>
      <c r="G659" s="297">
        <v>1155000</v>
      </c>
    </row>
    <row r="660" spans="1:7" s="20" customFormat="1" ht="30">
      <c r="A660" s="32">
        <v>521114001</v>
      </c>
      <c r="B660" s="332" t="s">
        <v>614</v>
      </c>
      <c r="C660" s="332">
        <v>12040582</v>
      </c>
      <c r="D660" s="332" t="s">
        <v>606</v>
      </c>
      <c r="E660" s="297">
        <v>2000000</v>
      </c>
      <c r="F660" s="114">
        <v>2500000</v>
      </c>
      <c r="G660" s="297">
        <v>2500000</v>
      </c>
    </row>
    <row r="661" spans="1:7" s="20" customFormat="1" ht="30">
      <c r="A661" s="32">
        <v>521114001</v>
      </c>
      <c r="B661" s="332" t="s">
        <v>614</v>
      </c>
      <c r="C661" s="332">
        <v>12040653</v>
      </c>
      <c r="D661" s="332" t="s">
        <v>619</v>
      </c>
      <c r="E661" s="297">
        <v>200000</v>
      </c>
      <c r="F661" s="114">
        <v>210000</v>
      </c>
      <c r="G661" s="297">
        <v>210000</v>
      </c>
    </row>
    <row r="662" spans="1:7" s="20" customFormat="1" ht="30">
      <c r="A662" s="32">
        <v>521114001</v>
      </c>
      <c r="B662" s="332" t="s">
        <v>614</v>
      </c>
      <c r="C662" s="332">
        <v>12070130</v>
      </c>
      <c r="D662" s="332" t="s">
        <v>620</v>
      </c>
      <c r="E662" s="297">
        <v>330000</v>
      </c>
      <c r="F662" s="114">
        <v>298000</v>
      </c>
      <c r="G662" s="297">
        <v>298000</v>
      </c>
    </row>
    <row r="663" spans="1:7" s="20" customFormat="1" ht="30">
      <c r="A663" s="32">
        <v>521114001</v>
      </c>
      <c r="B663" s="332" t="s">
        <v>614</v>
      </c>
      <c r="C663" s="332">
        <v>12040527</v>
      </c>
      <c r="D663" s="332" t="s">
        <v>621</v>
      </c>
      <c r="E663" s="297">
        <v>400000</v>
      </c>
      <c r="F663" s="114">
        <v>420000</v>
      </c>
      <c r="G663" s="297">
        <v>420000</v>
      </c>
    </row>
    <row r="664" spans="1:7" s="20" customFormat="1" ht="30">
      <c r="A664" s="32">
        <v>521114001</v>
      </c>
      <c r="B664" s="332" t="s">
        <v>614</v>
      </c>
      <c r="C664" s="332">
        <v>12040206</v>
      </c>
      <c r="D664" s="332" t="s">
        <v>622</v>
      </c>
      <c r="E664" s="297">
        <v>1000000</v>
      </c>
      <c r="F664" s="114">
        <v>1050000</v>
      </c>
      <c r="G664" s="297">
        <v>1050000</v>
      </c>
    </row>
    <row r="665" spans="1:7" s="20" customFormat="1" ht="30">
      <c r="A665" s="32">
        <v>521114001</v>
      </c>
      <c r="B665" s="332" t="s">
        <v>614</v>
      </c>
      <c r="C665" s="332">
        <v>12080013</v>
      </c>
      <c r="D665" s="332" t="s">
        <v>623</v>
      </c>
      <c r="E665" s="297">
        <v>200000</v>
      </c>
      <c r="F665" s="114">
        <v>210000</v>
      </c>
      <c r="G665" s="297">
        <v>210000</v>
      </c>
    </row>
    <row r="666" spans="1:7" s="20" customFormat="1" ht="30">
      <c r="A666" s="32">
        <v>521114001</v>
      </c>
      <c r="B666" s="332" t="s">
        <v>614</v>
      </c>
      <c r="C666" s="332">
        <v>12080015</v>
      </c>
      <c r="D666" s="332" t="s">
        <v>624</v>
      </c>
      <c r="E666" s="297">
        <v>0</v>
      </c>
      <c r="F666" s="114">
        <v>500000</v>
      </c>
      <c r="G666" s="297">
        <v>500000</v>
      </c>
    </row>
    <row r="667" spans="1:7" s="20" customFormat="1" ht="30">
      <c r="A667" s="32">
        <v>521114001</v>
      </c>
      <c r="B667" s="332" t="s">
        <v>614</v>
      </c>
      <c r="C667" s="332">
        <v>12040587</v>
      </c>
      <c r="D667" s="332" t="s">
        <v>625</v>
      </c>
      <c r="E667" s="297">
        <v>200000</v>
      </c>
      <c r="F667" s="114">
        <v>210000</v>
      </c>
      <c r="G667" s="297">
        <v>210000</v>
      </c>
    </row>
    <row r="668" spans="1:7" s="20" customFormat="1" ht="30">
      <c r="A668" s="32">
        <v>521114001</v>
      </c>
      <c r="B668" s="332" t="s">
        <v>614</v>
      </c>
      <c r="C668" s="332">
        <v>12060117</v>
      </c>
      <c r="D668" s="332" t="s">
        <v>1787</v>
      </c>
      <c r="E668" s="297">
        <v>500000</v>
      </c>
      <c r="F668" s="114">
        <v>525000</v>
      </c>
      <c r="G668" s="297">
        <v>525000</v>
      </c>
    </row>
    <row r="669" spans="1:7" s="20" customFormat="1" ht="30">
      <c r="A669" s="32">
        <v>521114001</v>
      </c>
      <c r="B669" s="332" t="s">
        <v>614</v>
      </c>
      <c r="C669" s="332">
        <v>12070106</v>
      </c>
      <c r="D669" s="332" t="s">
        <v>626</v>
      </c>
      <c r="E669" s="297">
        <v>500000</v>
      </c>
      <c r="F669" s="114">
        <v>525000</v>
      </c>
      <c r="G669" s="297">
        <v>525000</v>
      </c>
    </row>
    <row r="670" spans="1:7" s="20" customFormat="1" ht="30">
      <c r="A670" s="32">
        <v>521114001</v>
      </c>
      <c r="B670" s="332" t="s">
        <v>614</v>
      </c>
      <c r="C670" s="332">
        <v>12070007</v>
      </c>
      <c r="D670" s="332" t="s">
        <v>627</v>
      </c>
      <c r="E670" s="297">
        <v>200000</v>
      </c>
      <c r="F670" s="114">
        <v>420000</v>
      </c>
      <c r="G670" s="297">
        <v>420000</v>
      </c>
    </row>
    <row r="671" spans="1:7" s="20" customFormat="1" ht="30">
      <c r="A671" s="32">
        <v>521114001</v>
      </c>
      <c r="B671" s="332" t="s">
        <v>614</v>
      </c>
      <c r="C671" s="332">
        <v>12040585</v>
      </c>
      <c r="D671" s="332" t="s">
        <v>628</v>
      </c>
      <c r="E671" s="297">
        <v>1100000</v>
      </c>
      <c r="F671" s="114">
        <v>1155000</v>
      </c>
      <c r="G671" s="297">
        <v>1155000</v>
      </c>
    </row>
    <row r="672" spans="1:7" s="20" customFormat="1" ht="30">
      <c r="A672" s="32">
        <v>521114001</v>
      </c>
      <c r="B672" s="332" t="s">
        <v>614</v>
      </c>
      <c r="C672" s="332">
        <v>12040626</v>
      </c>
      <c r="D672" s="332" t="s">
        <v>629</v>
      </c>
      <c r="E672" s="297">
        <v>1000000</v>
      </c>
      <c r="F672" s="114">
        <v>1050000</v>
      </c>
      <c r="G672" s="297">
        <v>1050000</v>
      </c>
    </row>
    <row r="673" spans="1:7" s="20" customFormat="1" ht="30">
      <c r="A673" s="32">
        <v>521114001</v>
      </c>
      <c r="B673" s="332" t="s">
        <v>614</v>
      </c>
      <c r="C673" s="332">
        <v>12040651</v>
      </c>
      <c r="D673" s="332" t="s">
        <v>630</v>
      </c>
      <c r="E673" s="297">
        <v>200000</v>
      </c>
      <c r="F673" s="114">
        <v>210000</v>
      </c>
      <c r="G673" s="297">
        <v>210000</v>
      </c>
    </row>
    <row r="674" spans="1:7" s="20" customFormat="1" ht="30">
      <c r="A674" s="32">
        <v>521114001</v>
      </c>
      <c r="B674" s="332" t="s">
        <v>614</v>
      </c>
      <c r="C674" s="332">
        <v>12080019</v>
      </c>
      <c r="D674" s="332" t="s">
        <v>631</v>
      </c>
      <c r="E674" s="297">
        <v>1500000</v>
      </c>
      <c r="F674" s="114">
        <v>1575000</v>
      </c>
      <c r="G674" s="297">
        <v>1575000</v>
      </c>
    </row>
    <row r="675" spans="1:7" s="66" customFormat="1">
      <c r="A675" s="30"/>
      <c r="B675" s="231"/>
      <c r="C675" s="231"/>
      <c r="D675" s="231" t="s">
        <v>242</v>
      </c>
      <c r="E675" s="114">
        <f>SUM(E646:E674)</f>
        <v>19350000</v>
      </c>
      <c r="F675" s="114">
        <f>SUM(F646:F674)</f>
        <v>25155000</v>
      </c>
      <c r="G675" s="114">
        <f>SUM(G646:G674)</f>
        <v>25155000</v>
      </c>
    </row>
    <row r="676" spans="1:7" s="20" customFormat="1">
      <c r="A676" s="32"/>
      <c r="B676" s="332"/>
      <c r="C676" s="332"/>
      <c r="D676" s="332"/>
      <c r="E676" s="297"/>
      <c r="F676" s="114"/>
      <c r="G676" s="297"/>
    </row>
    <row r="677" spans="1:7" s="20" customFormat="1">
      <c r="A677" s="32"/>
      <c r="B677" s="332"/>
      <c r="C677" s="332"/>
      <c r="D677" s="332"/>
      <c r="E677" s="297"/>
      <c r="F677" s="114"/>
      <c r="G677" s="297"/>
    </row>
    <row r="678" spans="1:7" s="20" customFormat="1">
      <c r="A678" s="32">
        <v>326001001</v>
      </c>
      <c r="B678" s="332" t="s">
        <v>104</v>
      </c>
      <c r="C678" s="332">
        <v>12040184</v>
      </c>
      <c r="D678" s="332" t="s">
        <v>632</v>
      </c>
      <c r="E678" s="297">
        <v>104527500</v>
      </c>
      <c r="F678" s="395">
        <v>0</v>
      </c>
      <c r="G678" s="314">
        <v>0</v>
      </c>
    </row>
    <row r="679" spans="1:7" s="20" customFormat="1">
      <c r="A679" s="32">
        <v>326001001</v>
      </c>
      <c r="B679" s="332" t="s">
        <v>104</v>
      </c>
      <c r="C679" s="332">
        <v>12040185</v>
      </c>
      <c r="D679" s="332" t="s">
        <v>633</v>
      </c>
      <c r="E679" s="297">
        <v>1359700</v>
      </c>
      <c r="F679" s="114">
        <v>2900000</v>
      </c>
      <c r="G679" s="297">
        <v>2900000</v>
      </c>
    </row>
    <row r="680" spans="1:7" s="20" customFormat="1">
      <c r="A680" s="32">
        <v>326001001</v>
      </c>
      <c r="B680" s="332" t="s">
        <v>104</v>
      </c>
      <c r="C680" s="332">
        <v>12040186</v>
      </c>
      <c r="D680" s="332" t="s">
        <v>634</v>
      </c>
      <c r="E680" s="297">
        <v>968000</v>
      </c>
      <c r="F680" s="114">
        <v>1500000</v>
      </c>
      <c r="G680" s="297">
        <v>1500000</v>
      </c>
    </row>
    <row r="681" spans="1:7" s="66" customFormat="1">
      <c r="A681" s="30"/>
      <c r="B681" s="231"/>
      <c r="C681" s="231"/>
      <c r="D681" s="231" t="s">
        <v>242</v>
      </c>
      <c r="E681" s="114">
        <f>SUM(E678:E680)</f>
        <v>106855200</v>
      </c>
      <c r="F681" s="114">
        <f>SUM(F678:F680)</f>
        <v>4400000</v>
      </c>
      <c r="G681" s="114">
        <f>SUM(G678:G680)</f>
        <v>4400000</v>
      </c>
    </row>
    <row r="682" spans="1:7" s="20" customFormat="1">
      <c r="A682" s="32"/>
      <c r="B682" s="332"/>
      <c r="C682" s="332"/>
      <c r="D682" s="332"/>
      <c r="E682" s="297"/>
      <c r="F682" s="114"/>
      <c r="G682" s="297"/>
    </row>
    <row r="683" spans="1:7" s="20" customFormat="1">
      <c r="A683" s="32"/>
      <c r="B683" s="332"/>
      <c r="C683" s="332"/>
      <c r="D683" s="332"/>
      <c r="E683" s="297"/>
      <c r="F683" s="114"/>
      <c r="G683" s="297"/>
    </row>
    <row r="684" spans="1:7" s="20" customFormat="1">
      <c r="A684" s="32">
        <v>140001001</v>
      </c>
      <c r="B684" s="332" t="s">
        <v>635</v>
      </c>
      <c r="C684" s="332">
        <v>12040235</v>
      </c>
      <c r="D684" s="332" t="s">
        <v>379</v>
      </c>
      <c r="E684" s="297">
        <v>400000</v>
      </c>
      <c r="F684" s="114">
        <v>400000</v>
      </c>
      <c r="G684" s="297">
        <v>400000</v>
      </c>
    </row>
    <row r="685" spans="1:7" s="20" customFormat="1">
      <c r="A685" s="32">
        <v>140001001</v>
      </c>
      <c r="B685" s="332" t="s">
        <v>635</v>
      </c>
      <c r="C685" s="332">
        <v>12040380</v>
      </c>
      <c r="D685" s="332" t="s">
        <v>380</v>
      </c>
      <c r="E685" s="297">
        <v>500000</v>
      </c>
      <c r="F685" s="114">
        <v>1100000</v>
      </c>
      <c r="G685" s="297">
        <v>1100000</v>
      </c>
    </row>
    <row r="686" spans="1:7" s="66" customFormat="1">
      <c r="A686" s="30"/>
      <c r="B686" s="231"/>
      <c r="C686" s="231"/>
      <c r="D686" s="231" t="s">
        <v>242</v>
      </c>
      <c r="E686" s="114">
        <f>SUM(E684:E685)</f>
        <v>900000</v>
      </c>
      <c r="F686" s="114">
        <f>SUM(F684:F685)</f>
        <v>1500000</v>
      </c>
      <c r="G686" s="114">
        <f>SUM(G684:G685)</f>
        <v>1500000</v>
      </c>
    </row>
    <row r="687" spans="1:7" s="20" customFormat="1">
      <c r="A687" s="32"/>
      <c r="B687" s="332"/>
      <c r="C687" s="332"/>
      <c r="D687" s="332"/>
      <c r="E687" s="297"/>
      <c r="F687" s="114"/>
      <c r="G687" s="297"/>
    </row>
    <row r="688" spans="1:7" s="20" customFormat="1">
      <c r="A688" s="32"/>
      <c r="B688" s="332"/>
      <c r="C688" s="332"/>
      <c r="D688" s="332"/>
      <c r="E688" s="297"/>
      <c r="F688" s="114"/>
      <c r="G688" s="297"/>
    </row>
    <row r="689" spans="1:7" s="20" customFormat="1" ht="30">
      <c r="A689" s="32">
        <v>161001001</v>
      </c>
      <c r="B689" s="332" t="s">
        <v>636</v>
      </c>
      <c r="C689" s="332">
        <v>12040235</v>
      </c>
      <c r="D689" s="332" t="s">
        <v>637</v>
      </c>
      <c r="E689" s="297">
        <v>250000</v>
      </c>
      <c r="F689" s="114">
        <v>350000</v>
      </c>
      <c r="G689" s="297">
        <v>350000</v>
      </c>
    </row>
    <row r="690" spans="1:7" s="20" customFormat="1" ht="30">
      <c r="A690" s="32">
        <v>161001001</v>
      </c>
      <c r="B690" s="332" t="s">
        <v>636</v>
      </c>
      <c r="C690" s="332">
        <v>1240340</v>
      </c>
      <c r="D690" s="332" t="s">
        <v>380</v>
      </c>
      <c r="E690" s="297">
        <v>100000</v>
      </c>
      <c r="F690" s="114">
        <v>100000</v>
      </c>
      <c r="G690" s="297">
        <v>100000</v>
      </c>
    </row>
    <row r="691" spans="1:7" s="66" customFormat="1">
      <c r="A691" s="30"/>
      <c r="B691" s="231"/>
      <c r="C691" s="231"/>
      <c r="D691" s="231" t="s">
        <v>242</v>
      </c>
      <c r="E691" s="114">
        <f>SUM(E689:E690)</f>
        <v>350000</v>
      </c>
      <c r="F691" s="114">
        <f>SUM(F689:F690)</f>
        <v>450000</v>
      </c>
      <c r="G691" s="114">
        <f>SUM(G689:G690)</f>
        <v>450000</v>
      </c>
    </row>
    <row r="692" spans="1:7" s="20" customFormat="1">
      <c r="A692" s="32"/>
      <c r="B692" s="332"/>
      <c r="C692" s="332"/>
      <c r="D692" s="332"/>
      <c r="E692" s="297"/>
      <c r="F692" s="114"/>
      <c r="G692" s="297"/>
    </row>
    <row r="693" spans="1:7" s="20" customFormat="1">
      <c r="A693" s="32"/>
      <c r="B693" s="332"/>
      <c r="C693" s="332"/>
      <c r="D693" s="332"/>
      <c r="E693" s="297"/>
      <c r="F693" s="114"/>
      <c r="G693" s="297"/>
    </row>
    <row r="694" spans="1:7" s="20" customFormat="1">
      <c r="A694" s="32">
        <v>252001001</v>
      </c>
      <c r="B694" s="332" t="s">
        <v>116</v>
      </c>
      <c r="C694" s="332">
        <v>12040017</v>
      </c>
      <c r="D694" s="332" t="s">
        <v>345</v>
      </c>
      <c r="E694" s="297">
        <v>100000</v>
      </c>
      <c r="F694" s="114">
        <v>100000</v>
      </c>
      <c r="G694" s="297">
        <v>100000</v>
      </c>
    </row>
    <row r="695" spans="1:7" s="20" customFormat="1" ht="30">
      <c r="A695" s="32">
        <v>252001001</v>
      </c>
      <c r="B695" s="332" t="s">
        <v>116</v>
      </c>
      <c r="C695" s="332">
        <v>12040146</v>
      </c>
      <c r="D695" s="332" t="s">
        <v>638</v>
      </c>
      <c r="E695" s="297">
        <v>500000</v>
      </c>
      <c r="F695" s="114">
        <v>500000</v>
      </c>
      <c r="G695" s="297">
        <v>500000</v>
      </c>
    </row>
    <row r="696" spans="1:7" s="20" customFormat="1" ht="30">
      <c r="A696" s="32">
        <v>252001001</v>
      </c>
      <c r="B696" s="332" t="s">
        <v>116</v>
      </c>
      <c r="C696" s="332">
        <v>12040147</v>
      </c>
      <c r="D696" s="332" t="s">
        <v>639</v>
      </c>
      <c r="E696" s="297">
        <v>1000000</v>
      </c>
      <c r="F696" s="114">
        <f>1000000+600000</f>
        <v>1600000</v>
      </c>
      <c r="G696" s="297">
        <f>1000000+600000</f>
        <v>1600000</v>
      </c>
    </row>
    <row r="697" spans="1:7" s="20" customFormat="1">
      <c r="A697" s="32">
        <v>252001001</v>
      </c>
      <c r="B697" s="332" t="s">
        <v>116</v>
      </c>
      <c r="C697" s="332">
        <v>12040419</v>
      </c>
      <c r="D697" s="332" t="s">
        <v>640</v>
      </c>
      <c r="E697" s="297">
        <v>500000</v>
      </c>
      <c r="F697" s="114">
        <v>500000</v>
      </c>
      <c r="G697" s="297">
        <v>500001</v>
      </c>
    </row>
    <row r="698" spans="1:7" s="66" customFormat="1">
      <c r="A698" s="30"/>
      <c r="B698" s="231"/>
      <c r="C698" s="231"/>
      <c r="D698" s="386" t="s">
        <v>242</v>
      </c>
      <c r="E698" s="114">
        <f>SUM(E694:E697)</f>
        <v>2100000</v>
      </c>
      <c r="F698" s="114">
        <f>SUM(F694:F697)</f>
        <v>2700000</v>
      </c>
      <c r="G698" s="114">
        <f>SUM(G694:G697)</f>
        <v>2700001</v>
      </c>
    </row>
    <row r="699" spans="1:7" s="20" customFormat="1">
      <c r="A699" s="32"/>
      <c r="B699" s="332"/>
      <c r="C699" s="332"/>
      <c r="D699" s="396"/>
      <c r="E699" s="297"/>
      <c r="F699" s="114"/>
      <c r="G699" s="297"/>
    </row>
    <row r="700" spans="1:7" s="20" customFormat="1">
      <c r="A700" s="32"/>
      <c r="B700" s="332"/>
      <c r="C700" s="332"/>
      <c r="D700" s="332"/>
      <c r="E700" s="297"/>
      <c r="F700" s="114"/>
      <c r="G700" s="297"/>
    </row>
    <row r="701" spans="1:7" s="20" customFormat="1" ht="30">
      <c r="A701" s="32">
        <v>252004001</v>
      </c>
      <c r="B701" s="332" t="s">
        <v>115</v>
      </c>
      <c r="C701" s="332">
        <v>12040498</v>
      </c>
      <c r="D701" s="332" t="s">
        <v>641</v>
      </c>
      <c r="E701" s="297">
        <v>3250000</v>
      </c>
      <c r="F701" s="114">
        <v>4658062.5</v>
      </c>
      <c r="G701" s="297">
        <v>4658063.5</v>
      </c>
    </row>
    <row r="702" spans="1:7" s="66" customFormat="1">
      <c r="A702" s="30"/>
      <c r="B702" s="231"/>
      <c r="C702" s="231"/>
      <c r="D702" s="231" t="s">
        <v>242</v>
      </c>
      <c r="E702" s="114">
        <f>SUM(E701)</f>
        <v>3250000</v>
      </c>
      <c r="F702" s="114">
        <f>SUM(F701)</f>
        <v>4658062.5</v>
      </c>
      <c r="G702" s="114">
        <f>SUM(G701)</f>
        <v>4658063.5</v>
      </c>
    </row>
    <row r="703" spans="1:7" s="20" customFormat="1">
      <c r="A703" s="32"/>
      <c r="B703" s="332"/>
      <c r="C703" s="332"/>
      <c r="D703" s="332"/>
      <c r="E703" s="297"/>
      <c r="F703" s="114"/>
      <c r="G703" s="297"/>
    </row>
    <row r="704" spans="1:7" s="20" customFormat="1">
      <c r="A704" s="32"/>
      <c r="B704" s="332"/>
      <c r="C704" s="332"/>
      <c r="D704" s="332"/>
      <c r="E704" s="297"/>
      <c r="F704" s="114"/>
      <c r="G704" s="297"/>
    </row>
    <row r="705" spans="1:7" s="20" customFormat="1" ht="30">
      <c r="A705" s="32">
        <v>514001001</v>
      </c>
      <c r="B705" s="332" t="s">
        <v>119</v>
      </c>
      <c r="C705" s="332">
        <v>105049</v>
      </c>
      <c r="D705" s="332" t="s">
        <v>642</v>
      </c>
      <c r="E705" s="297">
        <v>1050000</v>
      </c>
      <c r="F705" s="114">
        <f>900000+1700000+750000</f>
        <v>3350000</v>
      </c>
      <c r="G705" s="297">
        <f>900000+1700000+750000</f>
        <v>3350000</v>
      </c>
    </row>
    <row r="706" spans="1:7" s="20" customFormat="1" ht="30">
      <c r="A706" s="32">
        <v>514001001</v>
      </c>
      <c r="B706" s="332" t="s">
        <v>119</v>
      </c>
      <c r="C706" s="332">
        <v>106018</v>
      </c>
      <c r="D706" s="332" t="s">
        <v>613</v>
      </c>
      <c r="E706" s="297">
        <v>12000000</v>
      </c>
      <c r="F706" s="114">
        <f>7550000+6000000</f>
        <v>13550000</v>
      </c>
      <c r="G706" s="297">
        <f>7550000+6000000</f>
        <v>13550000</v>
      </c>
    </row>
    <row r="707" spans="1:7" s="66" customFormat="1">
      <c r="A707" s="30"/>
      <c r="B707" s="231"/>
      <c r="C707" s="231"/>
      <c r="D707" s="231" t="s">
        <v>242</v>
      </c>
      <c r="E707" s="114">
        <f>SUM(E705:E706)</f>
        <v>13050000</v>
      </c>
      <c r="F707" s="114">
        <f>SUM(F705:F706)</f>
        <v>16900000</v>
      </c>
      <c r="G707" s="114">
        <f>SUM(G705:G706)</f>
        <v>16900000</v>
      </c>
    </row>
    <row r="708" spans="1:7" s="20" customFormat="1">
      <c r="A708" s="332"/>
      <c r="B708" s="332"/>
      <c r="C708" s="332"/>
      <c r="D708" s="332"/>
      <c r="E708" s="313"/>
      <c r="F708" s="392"/>
      <c r="G708" s="313"/>
    </row>
    <row r="709" spans="1:7" s="20" customFormat="1">
      <c r="A709" s="32"/>
      <c r="B709" s="332"/>
      <c r="C709" s="332"/>
      <c r="D709" s="332"/>
      <c r="E709" s="297"/>
      <c r="F709" s="114"/>
      <c r="G709" s="297"/>
    </row>
    <row r="710" spans="1:7" s="20" customFormat="1" ht="30">
      <c r="A710" s="32">
        <v>234001001</v>
      </c>
      <c r="B710" s="332" t="s">
        <v>132</v>
      </c>
      <c r="C710" s="332"/>
      <c r="D710" s="332" t="s">
        <v>2138</v>
      </c>
      <c r="E710" s="297">
        <v>1695038</v>
      </c>
      <c r="F710" s="114">
        <v>1700000</v>
      </c>
      <c r="G710" s="297">
        <v>1700000</v>
      </c>
    </row>
    <row r="711" spans="1:7" s="20" customFormat="1" ht="30">
      <c r="A711" s="32">
        <v>234001001</v>
      </c>
      <c r="B711" s="332" t="s">
        <v>132</v>
      </c>
      <c r="C711" s="332">
        <v>12040052</v>
      </c>
      <c r="D711" s="332" t="s">
        <v>643</v>
      </c>
      <c r="E711" s="297">
        <v>1063800</v>
      </c>
      <c r="F711" s="114">
        <v>1500800</v>
      </c>
      <c r="G711" s="297">
        <v>1500800</v>
      </c>
    </row>
    <row r="712" spans="1:7" s="20" customFormat="1" ht="30">
      <c r="A712" s="32">
        <v>234001001</v>
      </c>
      <c r="B712" s="332" t="s">
        <v>132</v>
      </c>
      <c r="C712" s="332">
        <v>12040055</v>
      </c>
      <c r="D712" s="332" t="s">
        <v>644</v>
      </c>
      <c r="E712" s="297">
        <v>4025400</v>
      </c>
      <c r="F712" s="114">
        <v>0</v>
      </c>
      <c r="G712" s="297">
        <v>0</v>
      </c>
    </row>
    <row r="713" spans="1:7" s="20" customFormat="1" ht="30">
      <c r="A713" s="32">
        <v>234001001</v>
      </c>
      <c r="B713" s="332" t="s">
        <v>132</v>
      </c>
      <c r="C713" s="332">
        <v>12040132</v>
      </c>
      <c r="D713" s="332" t="s">
        <v>1755</v>
      </c>
      <c r="E713" s="297">
        <v>377500</v>
      </c>
      <c r="F713" s="114">
        <v>400500</v>
      </c>
      <c r="G713" s="297">
        <v>400500</v>
      </c>
    </row>
    <row r="714" spans="1:7" s="20" customFormat="1" ht="30">
      <c r="A714" s="32">
        <v>234001001</v>
      </c>
      <c r="B714" s="332" t="s">
        <v>132</v>
      </c>
      <c r="C714" s="332">
        <v>12040135</v>
      </c>
      <c r="D714" s="332" t="s">
        <v>645</v>
      </c>
      <c r="E714" s="297">
        <v>1008875</v>
      </c>
      <c r="F714" s="114">
        <v>0</v>
      </c>
      <c r="G714" s="297">
        <v>0</v>
      </c>
    </row>
    <row r="715" spans="1:7" s="20" customFormat="1" ht="30">
      <c r="A715" s="32">
        <v>234001001</v>
      </c>
      <c r="B715" s="332" t="s">
        <v>132</v>
      </c>
      <c r="C715" s="332">
        <v>12040253</v>
      </c>
      <c r="D715" s="332" t="s">
        <v>646</v>
      </c>
      <c r="E715" s="297">
        <v>22562100</v>
      </c>
      <c r="F715" s="114">
        <v>0</v>
      </c>
      <c r="G715" s="297">
        <v>0</v>
      </c>
    </row>
    <row r="716" spans="1:7" s="20" customFormat="1" ht="30">
      <c r="A716" s="32">
        <v>234001001</v>
      </c>
      <c r="B716" s="332" t="s">
        <v>132</v>
      </c>
      <c r="C716" s="332">
        <v>12040398</v>
      </c>
      <c r="D716" s="332" t="s">
        <v>647</v>
      </c>
      <c r="E716" s="297">
        <v>10000000</v>
      </c>
      <c r="F716" s="114">
        <v>10000000</v>
      </c>
      <c r="G716" s="297">
        <v>10000000</v>
      </c>
    </row>
    <row r="717" spans="1:7" s="20" customFormat="1" ht="30">
      <c r="A717" s="32">
        <v>234001001</v>
      </c>
      <c r="B717" s="332" t="s">
        <v>132</v>
      </c>
      <c r="C717" s="332">
        <v>12040610</v>
      </c>
      <c r="D717" s="332" t="s">
        <v>648</v>
      </c>
      <c r="E717" s="297">
        <v>1764000</v>
      </c>
      <c r="F717" s="114">
        <v>2000000</v>
      </c>
      <c r="G717" s="297">
        <v>2000000</v>
      </c>
    </row>
    <row r="718" spans="1:7" s="20" customFormat="1" ht="30">
      <c r="A718" s="32">
        <v>234001001</v>
      </c>
      <c r="B718" s="332" t="s">
        <v>132</v>
      </c>
      <c r="C718" s="332">
        <v>12040611</v>
      </c>
      <c r="D718" s="332" t="s">
        <v>649</v>
      </c>
      <c r="E718" s="297">
        <v>596284</v>
      </c>
      <c r="F718" s="114">
        <v>600284</v>
      </c>
      <c r="G718" s="297">
        <v>600284</v>
      </c>
    </row>
    <row r="719" spans="1:7" s="20" customFormat="1" ht="30">
      <c r="A719" s="32">
        <v>234001001</v>
      </c>
      <c r="B719" s="332" t="s">
        <v>132</v>
      </c>
      <c r="C719" s="332">
        <v>12040612</v>
      </c>
      <c r="D719" s="332" t="s">
        <v>650</v>
      </c>
      <c r="E719" s="297">
        <v>450000</v>
      </c>
      <c r="F719" s="114">
        <v>450000</v>
      </c>
      <c r="G719" s="297">
        <v>450000</v>
      </c>
    </row>
    <row r="720" spans="1:7" s="20" customFormat="1" ht="30">
      <c r="A720" s="32">
        <v>234001001</v>
      </c>
      <c r="B720" s="332" t="s">
        <v>132</v>
      </c>
      <c r="C720" s="332">
        <v>12040613</v>
      </c>
      <c r="D720" s="332" t="s">
        <v>651</v>
      </c>
      <c r="E720" s="297">
        <v>22367600</v>
      </c>
      <c r="F720" s="114"/>
      <c r="G720" s="297"/>
    </row>
    <row r="721" spans="1:7" s="20" customFormat="1" ht="30">
      <c r="A721" s="32">
        <v>234001001</v>
      </c>
      <c r="B721" s="332" t="s">
        <v>132</v>
      </c>
      <c r="C721" s="332">
        <v>12040614</v>
      </c>
      <c r="D721" s="332" t="s">
        <v>1756</v>
      </c>
      <c r="E721" s="297">
        <v>2138000</v>
      </c>
      <c r="F721" s="114"/>
      <c r="G721" s="297"/>
    </row>
    <row r="722" spans="1:7" s="20" customFormat="1" ht="30">
      <c r="A722" s="32">
        <v>234001001</v>
      </c>
      <c r="B722" s="332" t="s">
        <v>132</v>
      </c>
      <c r="C722" s="332">
        <v>12040098</v>
      </c>
      <c r="D722" s="332" t="s">
        <v>652</v>
      </c>
      <c r="E722" s="297">
        <v>3000000</v>
      </c>
      <c r="F722" s="114">
        <v>4500000</v>
      </c>
      <c r="G722" s="297">
        <v>4500000</v>
      </c>
    </row>
    <row r="723" spans="1:7" s="20" customFormat="1" ht="30">
      <c r="A723" s="32">
        <v>234001001</v>
      </c>
      <c r="B723" s="332" t="s">
        <v>132</v>
      </c>
      <c r="C723" s="332">
        <v>12050030</v>
      </c>
      <c r="D723" s="332" t="s">
        <v>653</v>
      </c>
      <c r="E723" s="297">
        <v>3765762</v>
      </c>
      <c r="F723" s="114"/>
      <c r="G723" s="297"/>
    </row>
    <row r="724" spans="1:7" s="20" customFormat="1" ht="30">
      <c r="A724" s="32">
        <v>234001001</v>
      </c>
      <c r="B724" s="332" t="s">
        <v>132</v>
      </c>
      <c r="C724" s="332">
        <v>12080001</v>
      </c>
      <c r="D724" s="332" t="s">
        <v>249</v>
      </c>
      <c r="E724" s="297">
        <v>1080000</v>
      </c>
      <c r="F724" s="114">
        <v>1250000</v>
      </c>
      <c r="G724" s="297">
        <v>1250000</v>
      </c>
    </row>
    <row r="725" spans="1:7" s="66" customFormat="1">
      <c r="A725" s="30"/>
      <c r="B725" s="231"/>
      <c r="C725" s="231"/>
      <c r="D725" s="231" t="s">
        <v>242</v>
      </c>
      <c r="E725" s="114">
        <f>SUM(E710:E724)</f>
        <v>75894359</v>
      </c>
      <c r="F725" s="114">
        <f>SUM(F710:F724)</f>
        <v>22401584</v>
      </c>
      <c r="G725" s="114">
        <f>SUM(G710:G724)</f>
        <v>22401584</v>
      </c>
    </row>
    <row r="726" spans="1:7" s="20" customFormat="1">
      <c r="A726" s="32"/>
      <c r="B726" s="332"/>
      <c r="C726" s="332"/>
      <c r="D726" s="332"/>
      <c r="E726" s="314"/>
      <c r="F726" s="114"/>
      <c r="G726" s="297"/>
    </row>
    <row r="727" spans="1:7" s="20" customFormat="1">
      <c r="A727" s="32"/>
      <c r="B727" s="332"/>
      <c r="C727" s="332"/>
      <c r="D727" s="332"/>
      <c r="E727" s="297"/>
      <c r="F727" s="114"/>
      <c r="G727" s="297"/>
    </row>
    <row r="728" spans="1:7" s="20" customFormat="1" ht="30">
      <c r="A728" s="32">
        <v>234054001</v>
      </c>
      <c r="B728" s="332" t="s">
        <v>218</v>
      </c>
      <c r="C728" s="332">
        <v>12040039</v>
      </c>
      <c r="D728" s="332" t="s">
        <v>654</v>
      </c>
      <c r="E728" s="297">
        <v>7950000</v>
      </c>
      <c r="F728" s="114">
        <f>7950000+6850000</f>
        <v>14800000</v>
      </c>
      <c r="G728" s="297">
        <f>7950000+6850000</f>
        <v>14800000</v>
      </c>
    </row>
    <row r="729" spans="1:7" s="20" customFormat="1" ht="30">
      <c r="A729" s="32">
        <v>234054001</v>
      </c>
      <c r="B729" s="332" t="s">
        <v>218</v>
      </c>
      <c r="C729" s="332">
        <v>12040098</v>
      </c>
      <c r="D729" s="332" t="s">
        <v>655</v>
      </c>
      <c r="E729" s="297">
        <v>200000</v>
      </c>
      <c r="F729" s="114">
        <v>200000</v>
      </c>
      <c r="G729" s="297">
        <v>200000</v>
      </c>
    </row>
    <row r="730" spans="1:7" s="20" customFormat="1" ht="30">
      <c r="A730" s="32">
        <v>234054001</v>
      </c>
      <c r="B730" s="332" t="s">
        <v>218</v>
      </c>
      <c r="C730" s="332">
        <v>12040392</v>
      </c>
      <c r="D730" s="332" t="s">
        <v>1757</v>
      </c>
      <c r="E730" s="297">
        <v>2000000</v>
      </c>
      <c r="F730" s="114">
        <v>0</v>
      </c>
      <c r="G730" s="297">
        <v>0</v>
      </c>
    </row>
    <row r="731" spans="1:7" s="20" customFormat="1" ht="30">
      <c r="A731" s="32">
        <v>234054001</v>
      </c>
      <c r="B731" s="332" t="s">
        <v>218</v>
      </c>
      <c r="C731" s="332">
        <v>12080001</v>
      </c>
      <c r="D731" s="332" t="s">
        <v>656</v>
      </c>
      <c r="E731" s="297">
        <v>1350000</v>
      </c>
      <c r="F731" s="114">
        <v>0</v>
      </c>
      <c r="G731" s="297">
        <v>0</v>
      </c>
    </row>
    <row r="732" spans="1:7" s="66" customFormat="1">
      <c r="A732" s="30"/>
      <c r="B732" s="231"/>
      <c r="C732" s="231"/>
      <c r="D732" s="231" t="s">
        <v>242</v>
      </c>
      <c r="E732" s="114">
        <f>SUM(E728:E731)</f>
        <v>11500000</v>
      </c>
      <c r="F732" s="114">
        <f>SUM(F728:F731)</f>
        <v>15000000</v>
      </c>
      <c r="G732" s="114">
        <f>SUM(G728:G731)</f>
        <v>15000000</v>
      </c>
    </row>
    <row r="733" spans="1:7" s="20" customFormat="1">
      <c r="A733" s="32"/>
      <c r="B733" s="332"/>
      <c r="C733" s="332"/>
      <c r="D733" s="332"/>
      <c r="E733" s="297"/>
      <c r="F733" s="114"/>
      <c r="G733" s="297"/>
    </row>
    <row r="734" spans="1:7" s="20" customFormat="1">
      <c r="A734" s="32"/>
      <c r="B734" s="332"/>
      <c r="C734" s="332"/>
      <c r="D734" s="332"/>
      <c r="E734" s="297"/>
      <c r="F734" s="114"/>
      <c r="G734" s="297"/>
    </row>
    <row r="735" spans="1:7" s="20" customFormat="1" ht="45">
      <c r="A735" s="32"/>
      <c r="B735" s="332" t="s">
        <v>112</v>
      </c>
      <c r="C735" s="332">
        <v>12050003</v>
      </c>
      <c r="D735" s="332" t="s">
        <v>657</v>
      </c>
      <c r="E735" s="297">
        <v>0</v>
      </c>
      <c r="F735" s="114">
        <v>480000000</v>
      </c>
      <c r="G735" s="297">
        <f>F735/2</f>
        <v>240000000</v>
      </c>
    </row>
    <row r="736" spans="1:7" s="20" customFormat="1" ht="45">
      <c r="A736" s="32"/>
      <c r="B736" s="332" t="s">
        <v>112</v>
      </c>
      <c r="C736" s="332">
        <v>12050009</v>
      </c>
      <c r="D736" s="332" t="s">
        <v>658</v>
      </c>
      <c r="E736" s="297">
        <v>0</v>
      </c>
      <c r="F736" s="114">
        <v>148000000</v>
      </c>
      <c r="G736" s="297">
        <f t="shared" ref="G736:G741" si="1">F736/2</f>
        <v>74000000</v>
      </c>
    </row>
    <row r="737" spans="1:7" s="20" customFormat="1" ht="45">
      <c r="A737" s="32"/>
      <c r="B737" s="332" t="s">
        <v>112</v>
      </c>
      <c r="C737" s="332">
        <v>12050025</v>
      </c>
      <c r="D737" s="332" t="s">
        <v>659</v>
      </c>
      <c r="E737" s="297">
        <v>0</v>
      </c>
      <c r="F737" s="114">
        <v>79590000</v>
      </c>
      <c r="G737" s="297">
        <f t="shared" si="1"/>
        <v>39795000</v>
      </c>
    </row>
    <row r="738" spans="1:7" s="20" customFormat="1" ht="45">
      <c r="A738" s="32"/>
      <c r="B738" s="332" t="s">
        <v>112</v>
      </c>
      <c r="C738" s="332">
        <v>12050027</v>
      </c>
      <c r="D738" s="332" t="s">
        <v>660</v>
      </c>
      <c r="E738" s="297">
        <v>0</v>
      </c>
      <c r="F738" s="114">
        <v>162800000</v>
      </c>
      <c r="G738" s="297">
        <f t="shared" si="1"/>
        <v>81400000</v>
      </c>
    </row>
    <row r="739" spans="1:7" s="20" customFormat="1" ht="45">
      <c r="A739" s="32"/>
      <c r="B739" s="332" t="s">
        <v>112</v>
      </c>
      <c r="C739" s="332">
        <v>12050030</v>
      </c>
      <c r="D739" s="332" t="s">
        <v>661</v>
      </c>
      <c r="E739" s="297">
        <v>0</v>
      </c>
      <c r="F739" s="114">
        <v>170000000</v>
      </c>
      <c r="G739" s="297">
        <f t="shared" si="1"/>
        <v>85000000</v>
      </c>
    </row>
    <row r="740" spans="1:7" s="20" customFormat="1" ht="45">
      <c r="A740" s="32"/>
      <c r="B740" s="332" t="s">
        <v>112</v>
      </c>
      <c r="C740" s="332">
        <v>12050032</v>
      </c>
      <c r="D740" s="332" t="s">
        <v>662</v>
      </c>
      <c r="E740" s="297">
        <v>0</v>
      </c>
      <c r="F740" s="114">
        <v>2410000</v>
      </c>
      <c r="G740" s="297">
        <f t="shared" si="1"/>
        <v>1205000</v>
      </c>
    </row>
    <row r="741" spans="1:7" s="20" customFormat="1" ht="45">
      <c r="A741" s="32"/>
      <c r="B741" s="332" t="s">
        <v>112</v>
      </c>
      <c r="C741" s="332">
        <v>12050033</v>
      </c>
      <c r="D741" s="332" t="s">
        <v>663</v>
      </c>
      <c r="E741" s="297">
        <v>0</v>
      </c>
      <c r="F741" s="114">
        <v>159000000</v>
      </c>
      <c r="G741" s="297">
        <f t="shared" si="1"/>
        <v>79500000</v>
      </c>
    </row>
    <row r="742" spans="1:7" s="66" customFormat="1">
      <c r="A742" s="30"/>
      <c r="B742" s="231"/>
      <c r="C742" s="231"/>
      <c r="D742" s="231" t="s">
        <v>242</v>
      </c>
      <c r="E742" s="114"/>
      <c r="F742" s="114">
        <f>SUM(F735:F741)</f>
        <v>1201800000</v>
      </c>
      <c r="G742" s="114">
        <f>SUM(G735:G741)</f>
        <v>600900000</v>
      </c>
    </row>
    <row r="743" spans="1:7" s="20" customFormat="1">
      <c r="A743" s="32"/>
      <c r="B743" s="332"/>
      <c r="C743" s="332"/>
      <c r="D743" s="332"/>
      <c r="E743" s="297"/>
      <c r="F743" s="114"/>
      <c r="G743" s="297"/>
    </row>
    <row r="744" spans="1:7" s="20" customFormat="1">
      <c r="A744" s="32"/>
      <c r="B744" s="332"/>
      <c r="C744" s="332"/>
      <c r="D744" s="332"/>
      <c r="E744" s="297"/>
      <c r="F744" s="114"/>
      <c r="G744" s="297"/>
    </row>
    <row r="745" spans="1:7" s="20" customFormat="1">
      <c r="A745" s="32">
        <v>513001001</v>
      </c>
      <c r="B745" s="332" t="s">
        <v>120</v>
      </c>
      <c r="C745" s="237">
        <v>12040183</v>
      </c>
      <c r="D745" s="342" t="s">
        <v>1761</v>
      </c>
      <c r="E745" s="397">
        <v>2315250</v>
      </c>
      <c r="F745" s="114">
        <v>2431012.5</v>
      </c>
      <c r="G745" s="297">
        <v>2431012.5</v>
      </c>
    </row>
    <row r="746" spans="1:7" s="20" customFormat="1" ht="30">
      <c r="A746" s="32">
        <v>513001001</v>
      </c>
      <c r="B746" s="332" t="s">
        <v>120</v>
      </c>
      <c r="C746" s="237">
        <v>12040184</v>
      </c>
      <c r="D746" s="342" t="s">
        <v>1762</v>
      </c>
      <c r="E746" s="397">
        <v>578813</v>
      </c>
      <c r="F746" s="114">
        <v>607753.65</v>
      </c>
      <c r="G746" s="297">
        <v>607753.65</v>
      </c>
    </row>
    <row r="747" spans="1:7" s="20" customFormat="1">
      <c r="A747" s="32">
        <v>513001001</v>
      </c>
      <c r="B747" s="332" t="s">
        <v>120</v>
      </c>
      <c r="C747" s="237">
        <v>12070051</v>
      </c>
      <c r="D747" s="342" t="s">
        <v>1763</v>
      </c>
      <c r="E747" s="397">
        <v>1157625</v>
      </c>
      <c r="F747" s="114">
        <v>1215506.6499999999</v>
      </c>
      <c r="G747" s="297">
        <v>1215506.6499999999</v>
      </c>
    </row>
    <row r="748" spans="1:7" s="20" customFormat="1">
      <c r="A748" s="32">
        <v>513001001</v>
      </c>
      <c r="B748" s="332" t="s">
        <v>120</v>
      </c>
      <c r="C748" s="237">
        <v>12070069</v>
      </c>
      <c r="D748" s="342" t="s">
        <v>1764</v>
      </c>
      <c r="E748" s="397">
        <v>29577319</v>
      </c>
      <c r="F748" s="114">
        <v>31056184.949999999</v>
      </c>
      <c r="G748" s="297">
        <v>31056184.949999999</v>
      </c>
    </row>
    <row r="749" spans="1:7" s="20" customFormat="1">
      <c r="A749" s="32">
        <v>513001001</v>
      </c>
      <c r="B749" s="332" t="s">
        <v>120</v>
      </c>
      <c r="C749" s="237">
        <v>12040401</v>
      </c>
      <c r="D749" s="342" t="s">
        <v>1765</v>
      </c>
      <c r="E749" s="397">
        <v>605000</v>
      </c>
      <c r="F749" s="114">
        <v>635250</v>
      </c>
      <c r="G749" s="297">
        <v>635250</v>
      </c>
    </row>
    <row r="750" spans="1:7" s="20" customFormat="1" ht="30">
      <c r="A750" s="32">
        <v>513001001</v>
      </c>
      <c r="B750" s="332" t="s">
        <v>120</v>
      </c>
      <c r="C750" s="237">
        <v>12070089</v>
      </c>
      <c r="D750" s="342" t="s">
        <v>1766</v>
      </c>
      <c r="E750" s="397">
        <v>1815000</v>
      </c>
      <c r="F750" s="114">
        <v>1905750</v>
      </c>
      <c r="G750" s="297">
        <v>1905750</v>
      </c>
    </row>
    <row r="751" spans="1:7" s="20" customFormat="1">
      <c r="A751" s="32">
        <v>513001001</v>
      </c>
      <c r="B751" s="332" t="s">
        <v>120</v>
      </c>
      <c r="C751" s="237">
        <v>12070089</v>
      </c>
      <c r="D751" s="342" t="s">
        <v>1767</v>
      </c>
      <c r="E751" s="397">
        <v>1210000</v>
      </c>
      <c r="F751" s="114">
        <v>1270500</v>
      </c>
      <c r="G751" s="297">
        <v>1270500</v>
      </c>
    </row>
    <row r="752" spans="1:7" s="66" customFormat="1">
      <c r="A752" s="30"/>
      <c r="B752" s="231"/>
      <c r="C752" s="30"/>
      <c r="D752" s="231" t="s">
        <v>242</v>
      </c>
      <c r="E752" s="392">
        <f>SUM(E745:E751)</f>
        <v>37259007</v>
      </c>
      <c r="F752" s="114">
        <f>SUM(F745:F751)</f>
        <v>39121957.75</v>
      </c>
      <c r="G752" s="114">
        <f>SUM(G745:G751)</f>
        <v>39121957.75</v>
      </c>
    </row>
    <row r="753" spans="1:7" s="20" customFormat="1">
      <c r="A753" s="32"/>
      <c r="B753" s="332"/>
      <c r="C753" s="239"/>
      <c r="D753" s="332"/>
      <c r="E753" s="28"/>
      <c r="F753" s="114"/>
      <c r="G753" s="297"/>
    </row>
    <row r="754" spans="1:7" s="20" customFormat="1">
      <c r="A754" s="32"/>
      <c r="B754" s="332"/>
      <c r="C754" s="239"/>
      <c r="D754" s="332"/>
      <c r="E754" s="28"/>
      <c r="F754" s="114"/>
      <c r="G754" s="297"/>
    </row>
    <row r="755" spans="1:7" s="20" customFormat="1">
      <c r="A755" s="32">
        <v>111038002</v>
      </c>
      <c r="B755" s="332" t="s">
        <v>155</v>
      </c>
      <c r="C755" s="332">
        <v>12060146</v>
      </c>
      <c r="D755" s="332" t="s">
        <v>664</v>
      </c>
      <c r="E755" s="28">
        <v>1000000</v>
      </c>
      <c r="F755" s="114">
        <v>80000</v>
      </c>
      <c r="G755" s="297">
        <v>80000</v>
      </c>
    </row>
    <row r="756" spans="1:7" s="20" customFormat="1">
      <c r="A756" s="32">
        <v>111038002</v>
      </c>
      <c r="B756" s="332" t="s">
        <v>155</v>
      </c>
      <c r="C756" s="332">
        <v>12040090</v>
      </c>
      <c r="D756" s="332" t="s">
        <v>665</v>
      </c>
      <c r="E756" s="28">
        <v>0</v>
      </c>
      <c r="F756" s="114">
        <v>200000</v>
      </c>
      <c r="G756" s="297">
        <v>200000</v>
      </c>
    </row>
    <row r="757" spans="1:7" s="66" customFormat="1">
      <c r="A757" s="30"/>
      <c r="B757" s="231"/>
      <c r="C757" s="231"/>
      <c r="D757" s="231" t="s">
        <v>242</v>
      </c>
      <c r="E757" s="398">
        <f>SUM(E755:E756)</f>
        <v>1000000</v>
      </c>
      <c r="F757" s="114">
        <f>SUM(F755:F756)</f>
        <v>280000</v>
      </c>
      <c r="G757" s="114">
        <f>SUM(G755:G756)</f>
        <v>280000</v>
      </c>
    </row>
    <row r="758" spans="1:7" s="20" customFormat="1">
      <c r="A758" s="32"/>
      <c r="B758" s="332"/>
      <c r="C758" s="332"/>
      <c r="D758" s="332"/>
      <c r="E758" s="399"/>
      <c r="F758" s="114"/>
      <c r="G758" s="297"/>
    </row>
    <row r="759" spans="1:7" s="20" customFormat="1">
      <c r="A759" s="332"/>
      <c r="B759" s="332"/>
      <c r="C759" s="332"/>
      <c r="D759" s="332"/>
      <c r="E759" s="313"/>
      <c r="F759" s="392"/>
      <c r="G759" s="313"/>
    </row>
    <row r="760" spans="1:7" s="20" customFormat="1">
      <c r="A760" s="32">
        <v>111037002</v>
      </c>
      <c r="B760" s="332" t="s">
        <v>219</v>
      </c>
      <c r="C760" s="332">
        <v>12040090</v>
      </c>
      <c r="D760" s="332" t="s">
        <v>666</v>
      </c>
      <c r="E760" s="297">
        <v>11600000</v>
      </c>
      <c r="F760" s="114">
        <v>11600000</v>
      </c>
      <c r="G760" s="297">
        <v>11600000</v>
      </c>
    </row>
    <row r="761" spans="1:7" s="20" customFormat="1">
      <c r="A761" s="32">
        <v>111037002</v>
      </c>
      <c r="B761" s="332" t="s">
        <v>219</v>
      </c>
      <c r="C761" s="332">
        <v>12090005</v>
      </c>
      <c r="D761" s="332" t="s">
        <v>667</v>
      </c>
      <c r="E761" s="297">
        <v>500000</v>
      </c>
      <c r="F761" s="114">
        <v>500000</v>
      </c>
      <c r="G761" s="297">
        <v>500000</v>
      </c>
    </row>
    <row r="762" spans="1:7" s="20" customFormat="1">
      <c r="A762" s="32">
        <v>111037002</v>
      </c>
      <c r="B762" s="332" t="s">
        <v>219</v>
      </c>
      <c r="C762" s="332">
        <v>12080003</v>
      </c>
      <c r="D762" s="332" t="s">
        <v>668</v>
      </c>
      <c r="E762" s="297">
        <v>12000</v>
      </c>
      <c r="F762" s="114">
        <v>100000</v>
      </c>
      <c r="G762" s="297">
        <v>100000</v>
      </c>
    </row>
    <row r="763" spans="1:7" s="20" customFormat="1">
      <c r="A763" s="32">
        <v>111037002</v>
      </c>
      <c r="B763" s="332" t="s">
        <v>219</v>
      </c>
      <c r="C763" s="332">
        <v>12060164</v>
      </c>
      <c r="D763" s="332" t="s">
        <v>669</v>
      </c>
      <c r="E763" s="297">
        <v>5800000</v>
      </c>
      <c r="F763" s="114">
        <v>5800000</v>
      </c>
      <c r="G763" s="297">
        <v>5800000</v>
      </c>
    </row>
    <row r="764" spans="1:7" s="20" customFormat="1">
      <c r="A764" s="32">
        <v>111037002</v>
      </c>
      <c r="B764" s="332" t="s">
        <v>219</v>
      </c>
      <c r="C764" s="332">
        <v>12080013</v>
      </c>
      <c r="D764" s="332" t="s">
        <v>535</v>
      </c>
      <c r="E764" s="297">
        <v>500000</v>
      </c>
      <c r="F764" s="114">
        <v>500000</v>
      </c>
      <c r="G764" s="297">
        <v>500000</v>
      </c>
    </row>
    <row r="765" spans="1:7" s="20" customFormat="1">
      <c r="A765" s="32">
        <v>111037002</v>
      </c>
      <c r="B765" s="332" t="s">
        <v>219</v>
      </c>
      <c r="C765" s="332">
        <v>12080001</v>
      </c>
      <c r="D765" s="332" t="s">
        <v>670</v>
      </c>
      <c r="E765" s="297">
        <v>80000</v>
      </c>
      <c r="F765" s="114">
        <v>80000</v>
      </c>
      <c r="G765" s="297">
        <v>80000</v>
      </c>
    </row>
    <row r="766" spans="1:7" s="20" customFormat="1">
      <c r="A766" s="32">
        <v>111037002</v>
      </c>
      <c r="B766" s="332" t="s">
        <v>219</v>
      </c>
      <c r="C766" s="332">
        <v>12120001</v>
      </c>
      <c r="D766" s="332" t="s">
        <v>671</v>
      </c>
      <c r="E766" s="297">
        <v>0</v>
      </c>
      <c r="F766" s="114">
        <f>20000000+1012000</f>
        <v>21012000</v>
      </c>
      <c r="G766" s="297">
        <f>20000000+1012000</f>
        <v>21012000</v>
      </c>
    </row>
    <row r="767" spans="1:7" s="66" customFormat="1">
      <c r="A767" s="30"/>
      <c r="B767" s="231"/>
      <c r="C767" s="231"/>
      <c r="D767" s="231" t="s">
        <v>242</v>
      </c>
      <c r="E767" s="114">
        <f>SUM(E760:E766)</f>
        <v>18492000</v>
      </c>
      <c r="F767" s="114">
        <f>SUM(F760:F766)</f>
        <v>39592000</v>
      </c>
      <c r="G767" s="114">
        <f>SUM(G760:G766)</f>
        <v>39592000</v>
      </c>
    </row>
    <row r="768" spans="1:7" s="20" customFormat="1">
      <c r="A768" s="32"/>
      <c r="B768" s="332"/>
      <c r="C768" s="332"/>
      <c r="D768" s="332"/>
      <c r="E768" s="297"/>
      <c r="F768" s="114"/>
      <c r="G768" s="297"/>
    </row>
    <row r="769" spans="1:7" s="20" customFormat="1">
      <c r="A769" s="32"/>
      <c r="B769" s="332"/>
      <c r="C769" s="332"/>
      <c r="D769" s="332"/>
      <c r="E769" s="297"/>
      <c r="F769" s="114"/>
      <c r="G769" s="297"/>
    </row>
    <row r="770" spans="1:7" s="20" customFormat="1">
      <c r="A770" s="32"/>
      <c r="B770" s="332"/>
      <c r="C770" s="332"/>
      <c r="D770" s="332"/>
      <c r="E770" s="297"/>
      <c r="F770" s="114"/>
      <c r="G770" s="297"/>
    </row>
    <row r="771" spans="1:7" s="20" customFormat="1" ht="30">
      <c r="A771" s="32">
        <v>125005002</v>
      </c>
      <c r="B771" s="332" t="s">
        <v>110</v>
      </c>
      <c r="C771" s="396"/>
      <c r="D771" s="332" t="s">
        <v>672</v>
      </c>
      <c r="E771" s="302">
        <v>869000</v>
      </c>
      <c r="F771" s="114">
        <v>919000</v>
      </c>
      <c r="G771" s="297">
        <v>919000</v>
      </c>
    </row>
    <row r="772" spans="1:7" s="20" customFormat="1" ht="30">
      <c r="A772" s="32">
        <v>125005002</v>
      </c>
      <c r="B772" s="332" t="s">
        <v>110</v>
      </c>
      <c r="C772" s="396"/>
      <c r="D772" s="332" t="s">
        <v>673</v>
      </c>
      <c r="E772" s="400">
        <v>1020000</v>
      </c>
      <c r="F772" s="114">
        <v>1165700</v>
      </c>
      <c r="G772" s="297">
        <v>1165700</v>
      </c>
    </row>
    <row r="773" spans="1:7" s="20" customFormat="1" ht="30">
      <c r="A773" s="32">
        <v>125005002</v>
      </c>
      <c r="B773" s="332" t="s">
        <v>110</v>
      </c>
      <c r="C773" s="396"/>
      <c r="D773" s="332" t="s">
        <v>674</v>
      </c>
      <c r="E773" s="400">
        <v>1280000</v>
      </c>
      <c r="F773" s="114">
        <v>1880000</v>
      </c>
      <c r="G773" s="297">
        <v>1880000</v>
      </c>
    </row>
    <row r="774" spans="1:7" s="20" customFormat="1" ht="30">
      <c r="A774" s="32">
        <v>125005002</v>
      </c>
      <c r="B774" s="332" t="s">
        <v>110</v>
      </c>
      <c r="C774" s="396"/>
      <c r="D774" s="332" t="s">
        <v>675</v>
      </c>
      <c r="E774" s="400">
        <v>1280000</v>
      </c>
      <c r="F774" s="114">
        <v>1880000</v>
      </c>
      <c r="G774" s="297">
        <v>1880000</v>
      </c>
    </row>
    <row r="775" spans="1:7" s="20" customFormat="1" ht="30">
      <c r="A775" s="32"/>
      <c r="B775" s="332" t="s">
        <v>110</v>
      </c>
      <c r="C775" s="396"/>
      <c r="D775" s="332" t="s">
        <v>676</v>
      </c>
      <c r="E775" s="297">
        <v>370000</v>
      </c>
      <c r="F775" s="114">
        <v>420000</v>
      </c>
      <c r="G775" s="297">
        <v>420000</v>
      </c>
    </row>
    <row r="776" spans="1:7" s="66" customFormat="1">
      <c r="A776" s="30"/>
      <c r="B776" s="231"/>
      <c r="C776" s="231"/>
      <c r="D776" s="231" t="s">
        <v>242</v>
      </c>
      <c r="E776" s="114">
        <f>SUM(E771:E775)</f>
        <v>4819000</v>
      </c>
      <c r="F776" s="114">
        <f>SUM(F771:F775)</f>
        <v>6264700</v>
      </c>
      <c r="G776" s="114">
        <f>SUM(G771:G775)</f>
        <v>6264700</v>
      </c>
    </row>
    <row r="777" spans="1:7" s="20" customFormat="1">
      <c r="A777" s="32"/>
      <c r="B777" s="332"/>
      <c r="C777" s="332"/>
      <c r="D777" s="332"/>
      <c r="E777" s="302"/>
      <c r="F777" s="114"/>
      <c r="G777" s="297"/>
    </row>
    <row r="778" spans="1:7" s="20" customFormat="1">
      <c r="A778" s="32"/>
      <c r="B778" s="332"/>
      <c r="C778" s="332"/>
      <c r="D778" s="332"/>
      <c r="E778" s="400"/>
      <c r="F778" s="114"/>
      <c r="G778" s="297"/>
    </row>
    <row r="779" spans="1:7" s="20" customFormat="1">
      <c r="A779" s="32">
        <v>164001001</v>
      </c>
      <c r="B779" s="332" t="s">
        <v>151</v>
      </c>
      <c r="C779" s="332">
        <v>12040274</v>
      </c>
      <c r="D779" s="332" t="s">
        <v>379</v>
      </c>
      <c r="E779" s="297">
        <v>480000</v>
      </c>
      <c r="F779" s="114">
        <v>480000</v>
      </c>
      <c r="G779" s="297">
        <v>480000</v>
      </c>
    </row>
    <row r="780" spans="1:7" s="20" customFormat="1">
      <c r="A780" s="32">
        <v>164001001</v>
      </c>
      <c r="B780" s="332" t="s">
        <v>151</v>
      </c>
      <c r="C780" s="332">
        <v>12040640</v>
      </c>
      <c r="D780" s="332" t="s">
        <v>1758</v>
      </c>
      <c r="E780" s="297">
        <v>3000000</v>
      </c>
      <c r="F780" s="114">
        <v>3000000</v>
      </c>
      <c r="G780" s="297">
        <v>3000000</v>
      </c>
    </row>
    <row r="781" spans="1:7" s="20" customFormat="1" ht="45">
      <c r="A781" s="32">
        <v>164001001</v>
      </c>
      <c r="B781" s="332" t="s">
        <v>151</v>
      </c>
      <c r="C781" s="332">
        <v>12060031</v>
      </c>
      <c r="D781" s="332" t="s">
        <v>677</v>
      </c>
      <c r="E781" s="297">
        <v>2400000</v>
      </c>
      <c r="F781" s="114">
        <f>2400000+2102250</f>
        <v>4502250</v>
      </c>
      <c r="G781" s="297">
        <f>2400000+2102250</f>
        <v>4502250</v>
      </c>
    </row>
    <row r="782" spans="1:7" s="20" customFormat="1" ht="30">
      <c r="A782" s="32">
        <v>164001001</v>
      </c>
      <c r="B782" s="332" t="s">
        <v>151</v>
      </c>
      <c r="C782" s="332">
        <v>12080003</v>
      </c>
      <c r="D782" s="332" t="s">
        <v>1759</v>
      </c>
      <c r="E782" s="297">
        <v>1127500</v>
      </c>
      <c r="F782" s="114">
        <v>1127500</v>
      </c>
      <c r="G782" s="297">
        <v>1127501</v>
      </c>
    </row>
    <row r="783" spans="1:7" s="66" customFormat="1">
      <c r="A783" s="30"/>
      <c r="B783" s="231"/>
      <c r="C783" s="231"/>
      <c r="D783" s="231" t="s">
        <v>242</v>
      </c>
      <c r="E783" s="114">
        <f>SUM(E779:E782)</f>
        <v>7007500</v>
      </c>
      <c r="F783" s="114">
        <f>SUM(F779:F782)</f>
        <v>9109750</v>
      </c>
      <c r="G783" s="114">
        <f>SUM(G779:G782)</f>
        <v>9109751</v>
      </c>
    </row>
    <row r="784" spans="1:7" s="20" customFormat="1">
      <c r="A784" s="32"/>
      <c r="B784" s="332"/>
      <c r="C784" s="332"/>
      <c r="D784" s="332"/>
      <c r="E784" s="399"/>
      <c r="F784" s="114"/>
      <c r="G784" s="297"/>
    </row>
    <row r="785" spans="1:7" s="20" customFormat="1">
      <c r="A785" s="32"/>
      <c r="B785" s="332"/>
      <c r="C785" s="332"/>
      <c r="D785" s="332"/>
      <c r="E785" s="313"/>
      <c r="F785" s="392"/>
      <c r="G785" s="313"/>
    </row>
    <row r="786" spans="1:7" s="20" customFormat="1" ht="30">
      <c r="A786" s="32">
        <v>148001001</v>
      </c>
      <c r="B786" s="332" t="s">
        <v>220</v>
      </c>
      <c r="C786" s="332">
        <v>12940017</v>
      </c>
      <c r="D786" s="332" t="s">
        <v>345</v>
      </c>
      <c r="E786" s="297">
        <v>1500000</v>
      </c>
      <c r="F786" s="114">
        <v>1100000</v>
      </c>
      <c r="G786" s="297">
        <v>1100000</v>
      </c>
    </row>
    <row r="787" spans="1:7" s="20" customFormat="1" ht="30">
      <c r="A787" s="32">
        <v>148001001</v>
      </c>
      <c r="B787" s="332" t="s">
        <v>220</v>
      </c>
      <c r="C787" s="332">
        <v>12040104</v>
      </c>
      <c r="D787" s="332" t="s">
        <v>678</v>
      </c>
      <c r="E787" s="297">
        <v>369750000</v>
      </c>
      <c r="F787" s="297">
        <v>369750000</v>
      </c>
      <c r="G787" s="297">
        <v>369750000</v>
      </c>
    </row>
    <row r="788" spans="1:7" s="20" customFormat="1" ht="30">
      <c r="A788" s="32">
        <v>148001001</v>
      </c>
      <c r="B788" s="332" t="s">
        <v>220</v>
      </c>
      <c r="C788" s="332">
        <v>12040105</v>
      </c>
      <c r="D788" s="332" t="s">
        <v>679</v>
      </c>
      <c r="E788" s="297">
        <v>133400000</v>
      </c>
      <c r="F788" s="297">
        <v>133400000</v>
      </c>
      <c r="G788" s="297">
        <v>133400000</v>
      </c>
    </row>
    <row r="789" spans="1:7" s="20" customFormat="1">
      <c r="A789" s="32"/>
      <c r="B789" s="332"/>
      <c r="C789" s="332">
        <v>12040106</v>
      </c>
      <c r="D789" s="332" t="s">
        <v>680</v>
      </c>
      <c r="E789" s="297">
        <v>0</v>
      </c>
      <c r="F789" s="297">
        <v>14500000</v>
      </c>
      <c r="G789" s="297">
        <v>14500000</v>
      </c>
    </row>
    <row r="790" spans="1:7" s="66" customFormat="1">
      <c r="A790" s="30"/>
      <c r="B790" s="231"/>
      <c r="C790" s="231"/>
      <c r="D790" s="231" t="s">
        <v>242</v>
      </c>
      <c r="E790" s="114">
        <f>SUM(E786:E789)</f>
        <v>504650000</v>
      </c>
      <c r="F790" s="114">
        <f>SUM(F786:F789)</f>
        <v>518750000</v>
      </c>
      <c r="G790" s="114">
        <f>SUM(G786:G789)</f>
        <v>518750000</v>
      </c>
    </row>
    <row r="791" spans="1:7" s="20" customFormat="1" ht="30">
      <c r="A791" s="32"/>
      <c r="B791" s="332"/>
      <c r="C791" s="332"/>
      <c r="D791" s="231" t="s">
        <v>681</v>
      </c>
      <c r="E791" s="114">
        <f>E22+E31+E36+E49+E57+E61+E68+E73+E79+E100+E109+E116+E127+E145+E177+E197+E225+E231+E237+E241+E246+E261+E277+E294+E310+E325+E341+E356+E373+E389+E406+E422+E438+E457+E473+E489+E505+E513+E526+E543+E575+E599+E625+E643+E675+E681+E686+E691+E698+E702+E707+E725+E732+E742+E752+E757+E767+E776+E783+E790</f>
        <v>45823866438</v>
      </c>
      <c r="F791" s="114">
        <f>F22+F31+F36+F49+F57+F61+F68+F73+F79+F100+F109+F116+F127+F145+F177+F197+F225+F231+F237+F241+F246+F261+F277+F294+F310+F325+F341+F356+F373+F389+F406+F422+F438+F457+F473+F489+F505+F513+F526+F543+F575+F599+F625+F643+F675+F681+F686+F691+F698+F702+F707+F725+F732+F742+F752+F757+F767+F776+F783+F790</f>
        <v>59310122269.107018</v>
      </c>
      <c r="G791" s="114">
        <f>G22+G31+G36+G49+G57+G61+G68+G73+G79+G100+G109+G116+G127+G145+G177+G197+G225+G231+G237+G241+G246+G261+G277+G294+G310+G325+G341+G356+G373+G389+G406+G422+G438+G457+G473+G489+G505+G513+G526+G543+G575+G599+G625+G643+G675+G681+G686+G691+G698+G702+G707+G725+G732+G742+G752+G757+G767+G776+G783+G790</f>
        <v>50228877278.107018</v>
      </c>
    </row>
    <row r="792" spans="1:7" s="20" customFormat="1" ht="30">
      <c r="A792" s="32"/>
      <c r="B792" s="332" t="s">
        <v>222</v>
      </c>
      <c r="C792" s="332"/>
      <c r="D792" s="332"/>
      <c r="E792" s="297">
        <v>33795300000</v>
      </c>
      <c r="F792" s="114">
        <v>30146488899.75</v>
      </c>
      <c r="G792" s="297">
        <v>34919424430.150002</v>
      </c>
    </row>
    <row r="793" spans="1:7" s="20" customFormat="1">
      <c r="A793" s="32"/>
      <c r="B793" s="332" t="s">
        <v>223</v>
      </c>
      <c r="C793" s="332"/>
      <c r="D793" s="332"/>
      <c r="E793" s="297">
        <v>12626460737</v>
      </c>
      <c r="F793" s="114">
        <v>9469838052.75</v>
      </c>
      <c r="G793" s="297">
        <v>9469838052.75</v>
      </c>
    </row>
    <row r="794" spans="1:7" s="20" customFormat="1">
      <c r="A794" s="30"/>
      <c r="B794" s="231" t="s">
        <v>165</v>
      </c>
      <c r="C794" s="231"/>
      <c r="D794" s="231"/>
      <c r="E794" s="114">
        <f>SUM(E791:E793)</f>
        <v>92245627175</v>
      </c>
      <c r="F794" s="114">
        <f>SUM(F791:F793)</f>
        <v>98926449221.607025</v>
      </c>
      <c r="G794" s="114">
        <f>SUM(G791:G793)</f>
        <v>94618139761.007019</v>
      </c>
    </row>
    <row r="795" spans="1:7">
      <c r="F795" s="109"/>
      <c r="G795" s="315"/>
    </row>
    <row r="796" spans="1:7">
      <c r="G796" s="220"/>
    </row>
    <row r="797" spans="1:7">
      <c r="G797" s="220"/>
    </row>
    <row r="798" spans="1:7">
      <c r="G798" s="220"/>
    </row>
    <row r="799" spans="1:7">
      <c r="G799" s="220"/>
    </row>
  </sheetData>
  <mergeCells count="27">
    <mergeCell ref="C39:C40"/>
    <mergeCell ref="D39:D40"/>
    <mergeCell ref="E39:E40"/>
    <mergeCell ref="F39:F40"/>
    <mergeCell ref="A1:G1"/>
    <mergeCell ref="G39:G40"/>
    <mergeCell ref="F41:F42"/>
    <mergeCell ref="C43:C44"/>
    <mergeCell ref="D43:D44"/>
    <mergeCell ref="E43:E44"/>
    <mergeCell ref="F43:F44"/>
    <mergeCell ref="G41:G42"/>
    <mergeCell ref="G43:G44"/>
    <mergeCell ref="G45:G46"/>
    <mergeCell ref="G47:G48"/>
    <mergeCell ref="C49:C50"/>
    <mergeCell ref="C45:C46"/>
    <mergeCell ref="D45:D46"/>
    <mergeCell ref="E45:E46"/>
    <mergeCell ref="F45:F46"/>
    <mergeCell ref="C47:C48"/>
    <mergeCell ref="D47:D48"/>
    <mergeCell ref="E47:E48"/>
    <mergeCell ref="F47:F48"/>
    <mergeCell ref="C41:C42"/>
    <mergeCell ref="D41:D42"/>
    <mergeCell ref="E41:E42"/>
  </mergeCells>
  <printOptions horizontalCentered="1"/>
  <pageMargins left="0.70866141732283472" right="0.39370078740157483" top="0.47244094488188981" bottom="0.39370078740157483" header="0.31496062992125984" footer="0.15748031496062992"/>
  <pageSetup paperSize="9" orientation="landscape" horizontalDpi="4294967295" verticalDpi="4294967295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3"/>
  <sheetViews>
    <sheetView zoomScale="110" zoomScaleNormal="110" workbookViewId="0">
      <pane xSplit="3" ySplit="2" topLeftCell="F281" activePane="bottomRight" state="frozen"/>
      <selection pane="topRight" activeCell="D1" sqref="D1"/>
      <selection pane="bottomLeft" activeCell="A3" sqref="A3"/>
      <selection pane="bottomRight" activeCell="I293" sqref="I293"/>
    </sheetView>
  </sheetViews>
  <sheetFormatPr defaultRowHeight="15"/>
  <cols>
    <col min="1" max="1" width="15" style="130" customWidth="1"/>
    <col min="2" max="2" width="47.7109375" style="111" customWidth="1"/>
    <col min="3" max="3" width="20.28515625" bestFit="1" customWidth="1"/>
    <col min="4" max="4" width="21.140625" style="109" customWidth="1"/>
    <col min="5" max="5" width="18.28515625" style="220" customWidth="1"/>
    <col min="6" max="6" width="18.28515625" style="498" customWidth="1"/>
    <col min="7" max="7" width="18.28515625" style="472" customWidth="1"/>
    <col min="8" max="8" width="19" style="109" customWidth="1"/>
    <col min="9" max="9" width="18" style="109" customWidth="1"/>
  </cols>
  <sheetData>
    <row r="1" spans="1:9" s="9" customFormat="1" ht="21">
      <c r="A1" s="532" t="s">
        <v>701</v>
      </c>
      <c r="B1" s="532"/>
      <c r="C1" s="532"/>
      <c r="D1" s="532"/>
      <c r="E1" s="532"/>
      <c r="F1" s="532"/>
      <c r="G1" s="532"/>
      <c r="H1" s="532"/>
      <c r="I1" s="532"/>
    </row>
    <row r="2" spans="1:9" s="126" customFormat="1" ht="45">
      <c r="A2" s="316" t="s">
        <v>702</v>
      </c>
      <c r="B2" s="246" t="s">
        <v>703</v>
      </c>
      <c r="C2" s="246" t="s">
        <v>704</v>
      </c>
      <c r="D2" s="247" t="s">
        <v>705</v>
      </c>
      <c r="E2" s="247" t="s">
        <v>1711</v>
      </c>
      <c r="F2" s="487" t="s">
        <v>2636</v>
      </c>
      <c r="G2" s="466" t="s">
        <v>2637</v>
      </c>
      <c r="H2" s="247" t="s">
        <v>1712</v>
      </c>
      <c r="I2" s="247" t="s">
        <v>1735</v>
      </c>
    </row>
    <row r="3" spans="1:9">
      <c r="A3" s="127" t="s">
        <v>707</v>
      </c>
      <c r="B3" s="121" t="str">
        <f>BREAKDOWN!B5</f>
        <v>GOVERNMENT HOUSE</v>
      </c>
      <c r="C3" s="3" t="str">
        <f>BREAKDOWN!C16</f>
        <v>Personnel Cost -Total</v>
      </c>
      <c r="D3" s="124">
        <v>49486999</v>
      </c>
      <c r="E3" s="28">
        <f>BREAKDOWN!J16</f>
        <v>85392286.439999998</v>
      </c>
      <c r="F3" s="488">
        <f>BREAKDOWN!K16</f>
        <v>0</v>
      </c>
      <c r="G3" s="469">
        <f>BREAKDOWN!L16</f>
        <v>85392286.439999998</v>
      </c>
      <c r="H3" s="4">
        <f>BREAKDOWN!M16</f>
        <v>67108128.377400003</v>
      </c>
      <c r="I3" s="4">
        <f>BREAKDOWN!N16</f>
        <v>73818941.215140015</v>
      </c>
    </row>
    <row r="4" spans="1:9">
      <c r="A4" s="127"/>
      <c r="B4" s="121"/>
      <c r="C4" s="3" t="str">
        <f>BREAKDOWN!C34</f>
        <v>Overhead Cost -Total</v>
      </c>
      <c r="D4" s="124">
        <v>548946000</v>
      </c>
      <c r="E4" s="28">
        <f>BREAKDOWN!J34</f>
        <v>853724300</v>
      </c>
      <c r="F4" s="488">
        <f>BREAKDOWN!K34</f>
        <v>37393124.339999996</v>
      </c>
      <c r="G4" s="469">
        <f>BREAKDOWN!L34</f>
        <v>816331175.66000009</v>
      </c>
      <c r="H4" s="4">
        <f>BREAKDOWN!M34</f>
        <v>1954644300</v>
      </c>
      <c r="I4" s="4">
        <f>BREAKDOWN!N34</f>
        <v>1954644300</v>
      </c>
    </row>
    <row r="5" spans="1:9" s="9" customFormat="1">
      <c r="A5" s="128"/>
      <c r="B5" s="103" t="str">
        <f>BREAKDOWN!B35</f>
        <v>GOVERNMENT HOUSE -TOTAL</v>
      </c>
      <c r="C5" s="5"/>
      <c r="D5" s="104">
        <f>SUM(D3:D4)</f>
        <v>598432999</v>
      </c>
      <c r="E5" s="305">
        <f>SUM(E3:E4)</f>
        <v>939116586.44000006</v>
      </c>
      <c r="F5" s="489">
        <f t="shared" ref="F5" si="0">SUM(F3:F4)</f>
        <v>37393124.339999996</v>
      </c>
      <c r="G5" s="480">
        <f>SUM(G3:G4)</f>
        <v>901723462.10000014</v>
      </c>
      <c r="H5" s="113">
        <f>SUM(H3:H4)</f>
        <v>2021752428.3773999</v>
      </c>
      <c r="I5" s="113">
        <f>SUM(I3:I4)</f>
        <v>2028463241.2151401</v>
      </c>
    </row>
    <row r="6" spans="1:9">
      <c r="A6" s="127" t="str">
        <f>BREAKDOWN!A37</f>
        <v>011100100200</v>
      </c>
      <c r="B6" s="121" t="str">
        <f>BREAKDOWN!B37</f>
        <v>KADUNA GEOGRAPHIC INFORMATION SERVICE</v>
      </c>
      <c r="C6" s="3" t="str">
        <f>BREAKDOWN!C45</f>
        <v>Personnel Cost -Total</v>
      </c>
      <c r="D6" s="124">
        <v>121942473</v>
      </c>
      <c r="E6" s="28">
        <f>BREAKDOWN!J45</f>
        <v>111849653.20999999</v>
      </c>
      <c r="F6" s="488">
        <f>BREAKDOWN!K45</f>
        <v>0</v>
      </c>
      <c r="G6" s="469">
        <f>BREAKDOWN!L45</f>
        <v>111849653.20999999</v>
      </c>
      <c r="H6" s="4">
        <f>BREAKDOWN!M45</f>
        <v>128421425.66000001</v>
      </c>
      <c r="I6" s="4">
        <f>BREAKDOWN!N45</f>
        <v>141263568.22600001</v>
      </c>
    </row>
    <row r="7" spans="1:9">
      <c r="A7" s="127"/>
      <c r="B7" s="121"/>
      <c r="C7" s="3" t="str">
        <f>BREAKDOWN!C61</f>
        <v>Overhead Cost- Total</v>
      </c>
      <c r="D7" s="124">
        <v>32709000</v>
      </c>
      <c r="E7" s="28">
        <f>BREAKDOWN!J61</f>
        <v>40384975</v>
      </c>
      <c r="F7" s="488">
        <f>BREAKDOWN!K61</f>
        <v>1768861.905</v>
      </c>
      <c r="G7" s="469">
        <f>BREAKDOWN!L61</f>
        <v>38616113.094999999</v>
      </c>
      <c r="H7" s="4">
        <f>BREAKDOWN!M61</f>
        <v>40634975</v>
      </c>
      <c r="I7" s="4">
        <f>BREAKDOWN!N61</f>
        <v>38034975</v>
      </c>
    </row>
    <row r="8" spans="1:9" s="9" customFormat="1" ht="30">
      <c r="A8" s="128"/>
      <c r="B8" s="103" t="str">
        <f>BREAKDOWN!B62</f>
        <v>KADUNA GEOGRAPHIC INFORMATION SERVICE -TOTAL</v>
      </c>
      <c r="C8" s="5"/>
      <c r="D8" s="104">
        <f>SUM(D6:D7)</f>
        <v>154651473</v>
      </c>
      <c r="E8" s="114">
        <f>SUM(E6:E7)</f>
        <v>152234628.20999998</v>
      </c>
      <c r="F8" s="490">
        <f t="shared" ref="F8:G8" si="1">SUM(F6:F7)</f>
        <v>1768861.905</v>
      </c>
      <c r="G8" s="468">
        <f t="shared" si="1"/>
        <v>150465766.30500001</v>
      </c>
      <c r="H8" s="113">
        <f>SUM(H6:H7)</f>
        <v>169056400.66000003</v>
      </c>
      <c r="I8" s="113">
        <f>SUM(I6:I7)</f>
        <v>179298543.22600001</v>
      </c>
    </row>
    <row r="9" spans="1:9" ht="30">
      <c r="A9" s="127" t="str">
        <f>BREAKDOWN!A64</f>
        <v>011100100300</v>
      </c>
      <c r="B9" s="121" t="str">
        <f>BREAKDOWN!B64</f>
        <v>KADUNA STATE URBAN PLANNING AND DEVELOPMENT AGENCY</v>
      </c>
      <c r="C9" s="3" t="str">
        <f>BREAKDOWN!C65</f>
        <v>Personnel Cost -Total</v>
      </c>
      <c r="D9" s="124">
        <v>141292132</v>
      </c>
      <c r="E9" s="28">
        <f>BREAKDOWN!J65</f>
        <v>137959792.68000001</v>
      </c>
      <c r="F9" s="488">
        <f>BREAKDOWN!K65</f>
        <v>0</v>
      </c>
      <c r="G9" s="469">
        <f>BREAKDOWN!L65</f>
        <v>137959792.68000001</v>
      </c>
      <c r="H9" s="4">
        <f>BREAKDOWN!M65</f>
        <v>21867091.668000028</v>
      </c>
      <c r="I9" s="4">
        <f>BREAKDOWN!N65</f>
        <v>24053800.834800031</v>
      </c>
    </row>
    <row r="10" spans="1:9">
      <c r="A10" s="127"/>
      <c r="B10" s="121"/>
      <c r="C10" s="3" t="str">
        <f>BREAKDOWN!C87</f>
        <v>Overhead Cost -Total</v>
      </c>
      <c r="D10" s="124">
        <v>47353000</v>
      </c>
      <c r="E10" s="28">
        <f>BREAKDOWN!J87</f>
        <v>63829150</v>
      </c>
      <c r="F10" s="488">
        <f>BREAKDOWN!K87</f>
        <v>2795716.77</v>
      </c>
      <c r="G10" s="469">
        <f>BREAKDOWN!L87</f>
        <v>61033433.229999997</v>
      </c>
      <c r="H10" s="4">
        <f>BREAKDOWN!M87</f>
        <v>99061585</v>
      </c>
      <c r="I10" s="4">
        <f>BREAKDOWN!N87</f>
        <v>75480228.5</v>
      </c>
    </row>
    <row r="11" spans="1:9" s="9" customFormat="1" ht="30">
      <c r="A11" s="128"/>
      <c r="B11" s="103" t="str">
        <f>BREAKDOWN!B88</f>
        <v>KADUNA STATE URBAN PLANNING AND DEVELOPMENT AGENCY- TOTAL</v>
      </c>
      <c r="C11" s="5"/>
      <c r="D11" s="106">
        <f>SUM(D9:D10)</f>
        <v>188645132</v>
      </c>
      <c r="E11" s="114">
        <f>SUM(E9:E10)</f>
        <v>201788942.68000001</v>
      </c>
      <c r="F11" s="490">
        <f t="shared" ref="F11:G11" si="2">SUM(F9:F10)</f>
        <v>2795716.77</v>
      </c>
      <c r="G11" s="468">
        <f t="shared" si="2"/>
        <v>198993225.91</v>
      </c>
      <c r="H11" s="113">
        <f>SUM(H9:H10)</f>
        <v>120928676.66800003</v>
      </c>
      <c r="I11" s="113">
        <f>SUM(I9:I10)</f>
        <v>99534029.334800035</v>
      </c>
    </row>
    <row r="12" spans="1:9">
      <c r="A12" s="127" t="str">
        <f>BREAKDOWN!A90</f>
        <v>011100100400</v>
      </c>
      <c r="B12" s="121" t="str">
        <f>BREAKDOWN!B90</f>
        <v>GOVERNMENT PRINTING DEPARTMENT</v>
      </c>
      <c r="C12" s="3" t="str">
        <f>BREAKDOWN!C98</f>
        <v>Personnel Cost- Total</v>
      </c>
      <c r="D12" s="124">
        <v>41996425</v>
      </c>
      <c r="E12" s="28">
        <f>BREAKDOWN!J98</f>
        <v>36814333.490000002</v>
      </c>
      <c r="F12" s="488">
        <f>BREAKDOWN!K98</f>
        <v>0</v>
      </c>
      <c r="G12" s="469">
        <f>BREAKDOWN!L98</f>
        <v>36814333.490000002</v>
      </c>
      <c r="H12" s="4">
        <f>BREAKDOWN!M98</f>
        <v>40495766.839000002</v>
      </c>
      <c r="I12" s="4">
        <f>BREAKDOWN!N98</f>
        <v>44545343.5229</v>
      </c>
    </row>
    <row r="13" spans="1:9">
      <c r="A13" s="127"/>
      <c r="B13" s="121"/>
      <c r="C13" s="3" t="str">
        <f>BREAKDOWN!C107</f>
        <v>Overhead Cost -Total</v>
      </c>
      <c r="D13" s="124">
        <v>10790000</v>
      </c>
      <c r="E13" s="28">
        <f>BREAKDOWN!J107</f>
        <v>10790000</v>
      </c>
      <c r="F13" s="488">
        <f>BREAKDOWN!K107</f>
        <v>472601.99999999994</v>
      </c>
      <c r="G13" s="469">
        <f>BREAKDOWN!L107</f>
        <v>10317398</v>
      </c>
      <c r="H13" s="4">
        <f>BREAKDOWN!M107</f>
        <v>12527419</v>
      </c>
      <c r="I13" s="4">
        <f>BREAKDOWN!N107</f>
        <v>12527419</v>
      </c>
    </row>
    <row r="14" spans="1:9" s="9" customFormat="1">
      <c r="A14" s="128"/>
      <c r="B14" s="103" t="str">
        <f>BREAKDOWN!B108</f>
        <v>GOVERNMENT PRINTING DEPARTMENT- TOTAL</v>
      </c>
      <c r="C14" s="5"/>
      <c r="D14" s="104">
        <f>SUM(D12:D13)</f>
        <v>52786425</v>
      </c>
      <c r="E14" s="114">
        <f>SUM(E12:E13)</f>
        <v>47604333.490000002</v>
      </c>
      <c r="F14" s="490">
        <f t="shared" ref="F14:G14" si="3">SUM(F12:F13)</f>
        <v>472601.99999999994</v>
      </c>
      <c r="G14" s="468">
        <f t="shared" si="3"/>
        <v>47131731.490000002</v>
      </c>
      <c r="H14" s="113">
        <f>SUM(H12:H13)</f>
        <v>53023185.839000002</v>
      </c>
      <c r="I14" s="113">
        <f>SUM(I12:I13)</f>
        <v>57072762.5229</v>
      </c>
    </row>
    <row r="15" spans="1:9">
      <c r="A15" s="127" t="str">
        <f>BREAKDOWN!A110</f>
        <v>011100100500</v>
      </c>
      <c r="B15" s="121" t="str">
        <f>BREAKDOWN!B110</f>
        <v>KADUNA STATE MEDIA CORPORATION</v>
      </c>
      <c r="C15" s="3" t="str">
        <f>BREAKDOWN!C119</f>
        <v>Personnel Cost- Total</v>
      </c>
      <c r="D15" s="124">
        <v>204407452</v>
      </c>
      <c r="E15" s="28">
        <f>BREAKDOWN!G119</f>
        <v>192343088.40000004</v>
      </c>
      <c r="F15" s="488">
        <f>BREAKDOWN!H119</f>
        <v>0</v>
      </c>
      <c r="G15" s="469">
        <f>BREAKDOWN!L119</f>
        <v>192343088.40000004</v>
      </c>
      <c r="H15" s="4">
        <f>BREAKDOWN!M119</f>
        <v>211577397.24000001</v>
      </c>
      <c r="I15" s="4">
        <f>BREAKDOWN!N119</f>
        <v>232735136.96400005</v>
      </c>
    </row>
    <row r="16" spans="1:9">
      <c r="A16" s="127"/>
      <c r="B16" s="121"/>
      <c r="C16" s="3" t="str">
        <f>BREAKDOWN!C145</f>
        <v>Overhead Cost -Total</v>
      </c>
      <c r="D16" s="124">
        <v>79040217</v>
      </c>
      <c r="E16" s="28">
        <f>BREAKDOWN!J145</f>
        <v>131010417</v>
      </c>
      <c r="F16" s="488">
        <f>BREAKDOWN!K145</f>
        <v>5738256.2645999994</v>
      </c>
      <c r="G16" s="469">
        <f>BREAKDOWN!L145</f>
        <v>125272160.73540002</v>
      </c>
      <c r="H16" s="4">
        <f>BREAKDOWN!M145</f>
        <v>136331750</v>
      </c>
      <c r="I16" s="4">
        <f>BREAKDOWN!N145</f>
        <v>136331750</v>
      </c>
    </row>
    <row r="17" spans="1:9" s="9" customFormat="1">
      <c r="A17" s="128"/>
      <c r="B17" s="103" t="str">
        <f>BREAKDOWN!B146</f>
        <v>KADUNA STATE MEDIA CORPORATION TOTAL</v>
      </c>
      <c r="C17" s="5"/>
      <c r="D17" s="104">
        <f>SUM(D15:D16)</f>
        <v>283447669</v>
      </c>
      <c r="E17" s="114">
        <f>SUM(E15:E16)</f>
        <v>323353505.40000004</v>
      </c>
      <c r="F17" s="490">
        <f t="shared" ref="F17:G17" si="4">SUM(F15:F16)</f>
        <v>5738256.2645999994</v>
      </c>
      <c r="G17" s="468">
        <f t="shared" si="4"/>
        <v>317615249.13540006</v>
      </c>
      <c r="H17" s="113">
        <f>SUM(H15:H16)</f>
        <v>347909147.24000001</v>
      </c>
      <c r="I17" s="113">
        <f>SUM(I15:I16)</f>
        <v>369066886.96400005</v>
      </c>
    </row>
    <row r="18" spans="1:9">
      <c r="A18" s="127" t="str">
        <f>BREAKDOWN!A148</f>
        <v>011100100600</v>
      </c>
      <c r="B18" s="121" t="str">
        <f>BREAKDOWN!B148</f>
        <v>DEPARTMENT OF PUBLIC AFFAIRS</v>
      </c>
      <c r="C18" s="3" t="str">
        <f>BREAKDOWN!C156</f>
        <v>Personnel Cost -Total</v>
      </c>
      <c r="D18" s="124">
        <v>65962008</v>
      </c>
      <c r="E18" s="28">
        <f>BREAKDOWN!J156</f>
        <v>55144321.910000004</v>
      </c>
      <c r="F18" s="488">
        <f>BREAKDOWN!K156</f>
        <v>0</v>
      </c>
      <c r="G18" s="469">
        <f>BREAKDOWN!L156</f>
        <v>55144321.910000004</v>
      </c>
      <c r="H18" s="4">
        <f>BREAKDOWN!M156</f>
        <v>60658754.101000004</v>
      </c>
      <c r="I18" s="4">
        <f>BREAKDOWN!N156</f>
        <v>66724629.511100002</v>
      </c>
    </row>
    <row r="19" spans="1:9">
      <c r="A19" s="127"/>
      <c r="B19" s="121"/>
      <c r="C19" s="121" t="str">
        <f>BREAKDOWN!C174</f>
        <v>Overhead Cost- Total</v>
      </c>
      <c r="D19" s="124">
        <v>646003000</v>
      </c>
      <c r="E19" s="28">
        <f>BREAKDOWN!J174</f>
        <v>648552365.90999997</v>
      </c>
      <c r="F19" s="488">
        <f>BREAKDOWN!K174</f>
        <v>28406593.626857996</v>
      </c>
      <c r="G19" s="469">
        <f>BREAKDOWN!L174</f>
        <v>620145772.28314197</v>
      </c>
      <c r="H19" s="4">
        <f>BREAKDOWN!M174</f>
        <v>723591758.39999998</v>
      </c>
      <c r="I19" s="4">
        <f>BREAKDOWN!N174</f>
        <v>790339143.24000001</v>
      </c>
    </row>
    <row r="20" spans="1:9" s="9" customFormat="1">
      <c r="A20" s="128"/>
      <c r="B20" s="103" t="str">
        <f>BREAKDOWN!B175</f>
        <v>DEPARTMENT OF PUBLIC AFFAIRS -TOTAL</v>
      </c>
      <c r="C20" s="103"/>
      <c r="D20" s="104">
        <f>SUM(D18:D19)</f>
        <v>711965008</v>
      </c>
      <c r="E20" s="114">
        <f>SUM(E18:E19)</f>
        <v>703696687.81999993</v>
      </c>
      <c r="F20" s="490">
        <f t="shared" ref="F20:G20" si="5">SUM(F18:F19)</f>
        <v>28406593.626857996</v>
      </c>
      <c r="G20" s="468">
        <f t="shared" si="5"/>
        <v>675290094.19314194</v>
      </c>
      <c r="H20" s="113">
        <f>SUM(H18:H19)</f>
        <v>784250512.50099993</v>
      </c>
      <c r="I20" s="113">
        <f>SUM(I18:I19)</f>
        <v>857063772.75110006</v>
      </c>
    </row>
    <row r="21" spans="1:9">
      <c r="A21" s="127" t="s">
        <v>708</v>
      </c>
      <c r="B21" s="121" t="s">
        <v>709</v>
      </c>
      <c r="C21" s="121" t="s">
        <v>710</v>
      </c>
      <c r="D21" s="124">
        <v>20079625</v>
      </c>
      <c r="E21" s="28">
        <v>0</v>
      </c>
      <c r="F21" s="488">
        <v>0</v>
      </c>
      <c r="G21" s="469">
        <v>0</v>
      </c>
      <c r="H21" s="28">
        <v>0</v>
      </c>
      <c r="I21" s="28">
        <v>0</v>
      </c>
    </row>
    <row r="22" spans="1:9">
      <c r="A22" s="127"/>
      <c r="B22" s="121"/>
      <c r="C22" s="121" t="s">
        <v>711</v>
      </c>
      <c r="D22" s="124">
        <v>168923000</v>
      </c>
      <c r="E22" s="28">
        <v>0</v>
      </c>
      <c r="F22" s="488">
        <v>0</v>
      </c>
      <c r="G22" s="469">
        <v>0</v>
      </c>
      <c r="H22" s="28">
        <v>0</v>
      </c>
      <c r="I22" s="28">
        <v>0</v>
      </c>
    </row>
    <row r="23" spans="1:9" s="9" customFormat="1">
      <c r="A23" s="128"/>
      <c r="B23" s="103" t="s">
        <v>712</v>
      </c>
      <c r="C23" s="5"/>
      <c r="D23" s="104">
        <f>SUM(D21:D22)</f>
        <v>189002625</v>
      </c>
      <c r="E23" s="114">
        <v>0</v>
      </c>
      <c r="F23" s="490">
        <v>0</v>
      </c>
      <c r="G23" s="468">
        <v>0</v>
      </c>
      <c r="H23" s="114">
        <v>0</v>
      </c>
      <c r="I23" s="114">
        <v>0</v>
      </c>
    </row>
    <row r="24" spans="1:9" ht="30">
      <c r="A24" s="127" t="str">
        <f>BREAKDOWN!A177</f>
        <v>011100100200</v>
      </c>
      <c r="B24" s="121" t="str">
        <f>BREAKDOWN!B177</f>
        <v>MINISTRY OF RURAL AND COMMUNITY DEVELOPMENT</v>
      </c>
      <c r="C24" s="3" t="str">
        <f>BREAKDOWN!C185</f>
        <v>Personnel Cost- Total</v>
      </c>
      <c r="D24" s="124">
        <v>62640114</v>
      </c>
      <c r="E24" s="28">
        <f>BREAKDOWN!J185</f>
        <v>64874650</v>
      </c>
      <c r="F24" s="488">
        <f>BREAKDOWN!K185</f>
        <v>0</v>
      </c>
      <c r="G24" s="469">
        <f>BREAKDOWN!L185</f>
        <v>64874650</v>
      </c>
      <c r="H24" s="4">
        <f>BREAKDOWN!M185</f>
        <v>71362115.000000015</v>
      </c>
      <c r="I24" s="4">
        <f>BREAKDOWN!N185</f>
        <v>78498326.500000015</v>
      </c>
    </row>
    <row r="25" spans="1:9" ht="17.25" customHeight="1">
      <c r="A25" s="127"/>
      <c r="B25" s="121"/>
      <c r="C25" s="3" t="str">
        <f>BREAKDOWN!C207</f>
        <v>Overhead Cost -Total</v>
      </c>
      <c r="D25" s="124">
        <v>317283000</v>
      </c>
      <c r="E25" s="28">
        <f>BREAKDOWN!J207</f>
        <v>140563500</v>
      </c>
      <c r="F25" s="488">
        <f>BREAKDOWN!K207</f>
        <v>6156681.2999999998</v>
      </c>
      <c r="G25" s="469">
        <f>BREAKDOWN!L207</f>
        <v>134406818.69999999</v>
      </c>
      <c r="H25" s="4">
        <f>BREAKDOWN!M207</f>
        <v>46563500</v>
      </c>
      <c r="I25" s="4">
        <f>BREAKDOWN!N207</f>
        <v>46563500</v>
      </c>
    </row>
    <row r="26" spans="1:9" s="9" customFormat="1" ht="30">
      <c r="A26" s="128"/>
      <c r="B26" s="103" t="str">
        <f>BREAKDOWN!B208</f>
        <v>MINISTRY OF RURAL AND COMMUNITY DEVELOPMENT- TOTAL</v>
      </c>
      <c r="C26" s="5"/>
      <c r="D26" s="104">
        <f>SUM(D24:D25)</f>
        <v>379923114</v>
      </c>
      <c r="E26" s="114">
        <f>SUM(E24:E25)</f>
        <v>205438150</v>
      </c>
      <c r="F26" s="490">
        <f t="shared" ref="F26:G26" si="6">SUM(F24:F25)</f>
        <v>6156681.2999999998</v>
      </c>
      <c r="G26" s="468">
        <f t="shared" si="6"/>
        <v>199281468.69999999</v>
      </c>
      <c r="H26" s="113">
        <f>SUM(H21:H25)</f>
        <v>117925615.00000001</v>
      </c>
      <c r="I26" s="113">
        <f>SUM(I21:I25)</f>
        <v>125061826.50000001</v>
      </c>
    </row>
    <row r="27" spans="1:9" s="38" customFormat="1" ht="30">
      <c r="A27" s="129" t="str">
        <f>BREAKDOWN!A210</f>
        <v>011100200200</v>
      </c>
      <c r="B27" s="105" t="str">
        <f>BREAKDOWN!B210</f>
        <v>KADUNA POWER SUPPLY COMPANY LIMITED (KAPSCO)</v>
      </c>
      <c r="C27" s="75" t="str">
        <f>BREAKDOWN!C219</f>
        <v>Personnel Cost- Total</v>
      </c>
      <c r="D27" s="107">
        <v>0</v>
      </c>
      <c r="E27" s="297">
        <f>BREAKDOWN!J219</f>
        <v>16918731.48</v>
      </c>
      <c r="F27" s="491">
        <f>BREAKDOWN!K219</f>
        <v>0</v>
      </c>
      <c r="G27" s="467">
        <f>BREAKDOWN!L219</f>
        <v>16918731.48</v>
      </c>
      <c r="H27" s="4">
        <f>BREAKDOWN!M219</f>
        <v>5091250.78</v>
      </c>
      <c r="I27" s="4">
        <f>BREAKDOWN!N219</f>
        <v>5600375.858</v>
      </c>
    </row>
    <row r="28" spans="1:9" s="38" customFormat="1">
      <c r="A28" s="129"/>
      <c r="B28" s="105"/>
      <c r="C28" s="125" t="str">
        <f>BREAKDOWN!C235</f>
        <v>Overhead Cost -Total</v>
      </c>
      <c r="D28" s="107">
        <v>0</v>
      </c>
      <c r="E28" s="297">
        <f>BREAKDOWN!J235</f>
        <v>18554900</v>
      </c>
      <c r="F28" s="491">
        <f>BREAKDOWN!K235</f>
        <v>812704.62</v>
      </c>
      <c r="G28" s="467">
        <f>BREAKDOWN!L235</f>
        <v>17742195.379999999</v>
      </c>
      <c r="H28" s="4">
        <f>BREAKDOWN!M235</f>
        <v>20410390</v>
      </c>
      <c r="I28" s="4">
        <f>BREAKDOWN!N235</f>
        <v>22451429</v>
      </c>
    </row>
    <row r="29" spans="1:9" s="9" customFormat="1" ht="30">
      <c r="A29" s="128"/>
      <c r="B29" s="103" t="str">
        <f>BREAKDOWN!B236</f>
        <v>KADUNA POWER SUPPLY COMPANY LIMITED (KAPSCO)- TOTAL</v>
      </c>
      <c r="C29" s="5"/>
      <c r="D29" s="104"/>
      <c r="E29" s="114">
        <f>SUM(E27:E28)</f>
        <v>35473631.480000004</v>
      </c>
      <c r="F29" s="490">
        <f t="shared" ref="F29:G29" si="7">SUM(F27:F28)</f>
        <v>812704.62</v>
      </c>
      <c r="G29" s="468">
        <f t="shared" si="7"/>
        <v>34660926.859999999</v>
      </c>
      <c r="H29" s="113">
        <f>SUM(H27:H28)</f>
        <v>25501640.780000001</v>
      </c>
      <c r="I29" s="113">
        <f>SUM(I27:I28)</f>
        <v>28051804.857999999</v>
      </c>
    </row>
    <row r="30" spans="1:9" ht="30">
      <c r="A30" s="127" t="str">
        <f>BREAKDOWN!A238</f>
        <v>011100300100</v>
      </c>
      <c r="B30" s="121" t="str">
        <f>BREAKDOWN!B238</f>
        <v>OFFICE OF THE SECRETARY TO THE STATE GOVERNMENT</v>
      </c>
      <c r="C30" s="3" t="str">
        <f>BREAKDOWN!C251</f>
        <v>Personnel Cost -Total</v>
      </c>
      <c r="D30" s="124">
        <v>374546766</v>
      </c>
      <c r="E30" s="28">
        <f>BREAKDOWN!J251</f>
        <v>489997743.77999997</v>
      </c>
      <c r="F30" s="488">
        <f>BREAKDOWN!K251</f>
        <v>0</v>
      </c>
      <c r="G30" s="469">
        <f>BREAKDOWN!L251</f>
        <v>489997743.77999997</v>
      </c>
      <c r="H30" s="4">
        <f>BREAKDOWN!M251</f>
        <v>538997518.15800011</v>
      </c>
      <c r="I30" s="4">
        <f>BREAKDOWN!N251</f>
        <v>592897269.97379994</v>
      </c>
    </row>
    <row r="31" spans="1:9">
      <c r="A31" s="127"/>
      <c r="B31" s="121"/>
      <c r="C31" s="3" t="str">
        <f>BREAKDOWN!C276</f>
        <v>Overhead Cost -Total</v>
      </c>
      <c r="D31" s="124">
        <v>3259370000</v>
      </c>
      <c r="E31" s="28">
        <f>BREAKDOWN!J276</f>
        <v>4510665919</v>
      </c>
      <c r="F31" s="488">
        <f>BREAKDOWN!K276</f>
        <v>197567167.25220001</v>
      </c>
      <c r="G31" s="469">
        <f>BREAKDOWN!L276</f>
        <v>4313098751.7477999</v>
      </c>
      <c r="H31" s="4">
        <f>BREAKDOWN!M276</f>
        <v>5852585429.96</v>
      </c>
      <c r="I31" s="4">
        <f>BREAKDOWN!N276</f>
        <v>5984585429.96</v>
      </c>
    </row>
    <row r="32" spans="1:9" s="9" customFormat="1" ht="30">
      <c r="A32" s="128"/>
      <c r="B32" s="103" t="str">
        <f>BREAKDOWN!B277</f>
        <v>0FFICE OF THE SECRETARY TO THE STATE GOVERNMENT- TOTAL</v>
      </c>
      <c r="C32" s="5"/>
      <c r="D32" s="104">
        <f>SUM(D30:D31)</f>
        <v>3633916766</v>
      </c>
      <c r="E32" s="114">
        <f>SUM(E30:E31)</f>
        <v>5000663662.7799997</v>
      </c>
      <c r="F32" s="490">
        <f t="shared" ref="F32:G32" si="8">SUM(F30:F31)</f>
        <v>197567167.25220001</v>
      </c>
      <c r="G32" s="468">
        <f t="shared" si="8"/>
        <v>4803096495.5277996</v>
      </c>
      <c r="H32" s="113">
        <f>SUM(H30:H31)</f>
        <v>6391582948.118</v>
      </c>
      <c r="I32" s="113">
        <f>SUM(I30:I31)</f>
        <v>6577482699.9337997</v>
      </c>
    </row>
    <row r="33" spans="1:9" ht="30">
      <c r="A33" s="127" t="str">
        <f>BREAKDOWN!A279</f>
        <v>011100700100</v>
      </c>
      <c r="B33" s="121" t="str">
        <f>BREAKDOWN!B279</f>
        <v>INDUSTRIALIZATION AND MICRO CREDIT MANAGEMENT BOARD</v>
      </c>
      <c r="C33" s="3" t="str">
        <f>BREAKDOWN!C287</f>
        <v>Personnel Cost -Total</v>
      </c>
      <c r="D33" s="124">
        <v>4528660</v>
      </c>
      <c r="E33" s="28">
        <f>BREAKDOWN!J287</f>
        <v>6743075.75</v>
      </c>
      <c r="F33" s="488">
        <f>BREAKDOWN!K287</f>
        <v>0</v>
      </c>
      <c r="G33" s="469">
        <f>BREAKDOWN!L287</f>
        <v>6743075.75</v>
      </c>
      <c r="H33" s="4">
        <f>BREAKDOWN!M287</f>
        <v>4944938.625</v>
      </c>
      <c r="I33" s="4">
        <f>BREAKDOWN!N287</f>
        <v>5439432.4874999998</v>
      </c>
    </row>
    <row r="34" spans="1:9" ht="18" customHeight="1">
      <c r="A34" s="127"/>
      <c r="B34" s="121"/>
      <c r="C34" s="3" t="str">
        <f>BREAKDOWN!C307</f>
        <v>Overhead Cost- Total</v>
      </c>
      <c r="D34" s="124">
        <v>5292000</v>
      </c>
      <c r="E34" s="28">
        <f>BREAKDOWN!J307</f>
        <v>11981400</v>
      </c>
      <c r="F34" s="488">
        <f>BREAKDOWN!K307</f>
        <v>524785.32000000007</v>
      </c>
      <c r="G34" s="469">
        <f>BREAKDOWN!L307</f>
        <v>11456614.68</v>
      </c>
      <c r="H34" s="4">
        <f>BREAKDOWN!M307</f>
        <v>6049100</v>
      </c>
      <c r="I34" s="4">
        <f>BREAKDOWN!N307</f>
        <v>6049100</v>
      </c>
    </row>
    <row r="35" spans="1:9" s="9" customFormat="1" ht="30">
      <c r="A35" s="128"/>
      <c r="B35" s="103" t="str">
        <f>BREAKDOWN!B308</f>
        <v>INDUSTRIALIZATION AND MICRO CREDIT MANAGEMENT BOARD -TOTAL</v>
      </c>
      <c r="C35" s="5"/>
      <c r="D35" s="104">
        <f>SUM(D33:D34)</f>
        <v>9820660</v>
      </c>
      <c r="E35" s="114">
        <f>SUM(E33:E34)</f>
        <v>18724475.75</v>
      </c>
      <c r="F35" s="490">
        <f t="shared" ref="F35:G35" si="9">SUM(F33:F34)</f>
        <v>524785.32000000007</v>
      </c>
      <c r="G35" s="468">
        <f t="shared" si="9"/>
        <v>18199690.43</v>
      </c>
      <c r="H35" s="113">
        <f>SUM(H33:H34)</f>
        <v>10994038.625</v>
      </c>
      <c r="I35" s="113">
        <f>SUM(I33:I34)</f>
        <v>11488532.487500001</v>
      </c>
    </row>
    <row r="36" spans="1:9">
      <c r="A36" s="127" t="str">
        <f>BREAKDOWN!A310</f>
        <v>011100800100</v>
      </c>
      <c r="B36" s="121" t="str">
        <f>BREAKDOWN!B310</f>
        <v>STATE EMERGENCY MANAGEMENT AGENCY</v>
      </c>
      <c r="C36" s="3" t="str">
        <f>BREAKDOWN!C320</f>
        <v>Personnel Cost -Total</v>
      </c>
      <c r="D36" s="124">
        <v>97209299</v>
      </c>
      <c r="E36" s="28">
        <f>BREAKDOWN!J320</f>
        <v>82601188.329999998</v>
      </c>
      <c r="F36" s="488">
        <f>BREAKDOWN!K320</f>
        <v>0</v>
      </c>
      <c r="G36" s="469">
        <f>BREAKDOWN!L320</f>
        <v>82601188.329999998</v>
      </c>
      <c r="H36" s="4">
        <f>BREAKDOWN!M320</f>
        <v>90861307.163000003</v>
      </c>
      <c r="I36" s="4">
        <f>BREAKDOWN!N320</f>
        <v>99947437.879299998</v>
      </c>
    </row>
    <row r="37" spans="1:9">
      <c r="A37" s="127"/>
      <c r="B37" s="121"/>
      <c r="C37" s="3" t="str">
        <f>BREAKDOWN!C337</f>
        <v>Overhead Cost- Total</v>
      </c>
      <c r="D37" s="124">
        <v>156042000</v>
      </c>
      <c r="E37" s="28">
        <f>BREAKDOWN!J337</f>
        <v>154213470</v>
      </c>
      <c r="F37" s="488">
        <f>BREAKDOWN!K337</f>
        <v>6754549.9859999986</v>
      </c>
      <c r="G37" s="469">
        <f>BREAKDOWN!L337</f>
        <v>147458920.014</v>
      </c>
      <c r="H37" s="4">
        <f>BREAKDOWN!M337</f>
        <v>245574470</v>
      </c>
      <c r="I37" s="4">
        <f>BREAKDOWN!N337</f>
        <v>245425470</v>
      </c>
    </row>
    <row r="38" spans="1:9" s="9" customFormat="1">
      <c r="A38" s="128"/>
      <c r="B38" s="103" t="str">
        <f>BREAKDOWN!B338</f>
        <v>STATE EMERGENCY MANAGEMENT AGENCY -TOTAL</v>
      </c>
      <c r="C38" s="5"/>
      <c r="D38" s="104">
        <f>SUM(D36:D37)</f>
        <v>253251299</v>
      </c>
      <c r="E38" s="114">
        <f>SUM(E36:E37)</f>
        <v>236814658.32999998</v>
      </c>
      <c r="F38" s="490">
        <f t="shared" ref="F38:G38" si="10">SUM(F36:F37)</f>
        <v>6754549.9859999986</v>
      </c>
      <c r="G38" s="468">
        <f t="shared" si="10"/>
        <v>230060108.34399998</v>
      </c>
      <c r="H38" s="113">
        <f>SUM(H36:H37)</f>
        <v>336435777.16299999</v>
      </c>
      <c r="I38" s="113">
        <f>SUM(I36:I37)</f>
        <v>345372907.8793</v>
      </c>
    </row>
    <row r="39" spans="1:9" ht="30">
      <c r="A39" s="127" t="str">
        <f>BREAKDOWN!A340</f>
        <v>011101000100</v>
      </c>
      <c r="B39" s="121" t="str">
        <f>BREAKDOWN!B340</f>
        <v>KADUNA STATE PUBLIC PROCUREMENT AUTHORITY TOTAL</v>
      </c>
      <c r="C39" s="3" t="str">
        <f>BREAKDOWN!C349</f>
        <v>Personnel Cost -Total</v>
      </c>
      <c r="D39" s="124">
        <v>30261455</v>
      </c>
      <c r="E39" s="28">
        <f>BREAKDOWN!J349</f>
        <v>28255781</v>
      </c>
      <c r="F39" s="488">
        <f>BREAKDOWN!K349</f>
        <v>0</v>
      </c>
      <c r="G39" s="469">
        <f>BREAKDOWN!L349</f>
        <v>28255781</v>
      </c>
      <c r="H39" s="4">
        <f>BREAKDOWN!M349</f>
        <v>29791835</v>
      </c>
      <c r="I39" s="4">
        <f>BREAKDOWN!N349</f>
        <v>32771019</v>
      </c>
    </row>
    <row r="40" spans="1:9">
      <c r="A40" s="127"/>
      <c r="B40" s="121"/>
      <c r="C40" s="3" t="str">
        <f>BREAKDOWN!C359</f>
        <v>Overhead Cost -Total</v>
      </c>
      <c r="D40" s="124">
        <v>16217000</v>
      </c>
      <c r="E40" s="28">
        <f>BREAKDOWN!J359</f>
        <v>9407400</v>
      </c>
      <c r="F40" s="488">
        <f>BREAKDOWN!K359</f>
        <v>412044.12</v>
      </c>
      <c r="G40" s="469">
        <f>BREAKDOWN!L359</f>
        <v>8995355.879999999</v>
      </c>
      <c r="H40" s="4">
        <f>BREAKDOWN!M359</f>
        <v>13557400</v>
      </c>
      <c r="I40" s="4">
        <f>BREAKDOWN!N359</f>
        <v>14913140</v>
      </c>
    </row>
    <row r="41" spans="1:9" s="9" customFormat="1" ht="30">
      <c r="A41" s="128"/>
      <c r="B41" s="103" t="str">
        <f>BREAKDOWN!B360</f>
        <v>KADUNA STATE PUBLIC PROCUREMENT AUTHORITY-TOTAL</v>
      </c>
      <c r="C41" s="5"/>
      <c r="D41" s="104">
        <f>SUM(D39:D40)</f>
        <v>46478455</v>
      </c>
      <c r="E41" s="114">
        <f>SUM(E39:E40)</f>
        <v>37663181</v>
      </c>
      <c r="F41" s="490">
        <f t="shared" ref="F41:G41" si="11">SUM(F39:F40)</f>
        <v>412044.12</v>
      </c>
      <c r="G41" s="468">
        <f t="shared" si="11"/>
        <v>37251136.879999995</v>
      </c>
      <c r="H41" s="113">
        <f>SUM(H39:H40)</f>
        <v>43349235</v>
      </c>
      <c r="I41" s="113">
        <f>SUM(I39:I40)</f>
        <v>47684159</v>
      </c>
    </row>
    <row r="42" spans="1:9">
      <c r="A42" s="127" t="str">
        <f>BREAKDOWN!A362</f>
        <v>011102100100</v>
      </c>
      <c r="B42" s="121" t="str">
        <f>BREAKDOWN!B362</f>
        <v>LIAISON OFFICE, ABUJA</v>
      </c>
      <c r="C42" s="3" t="str">
        <f>BREAKDOWN!C375</f>
        <v>Overhead Cost- Total</v>
      </c>
      <c r="D42" s="124">
        <v>13369000</v>
      </c>
      <c r="E42" s="28">
        <f>BREAKDOWN!J375</f>
        <v>11383560</v>
      </c>
      <c r="F42" s="488">
        <f>BREAKDOWN!K375</f>
        <v>498599.92800000001</v>
      </c>
      <c r="G42" s="469">
        <f>BREAKDOWN!L375</f>
        <v>10884960.072000001</v>
      </c>
      <c r="H42" s="4">
        <f>BREAKDOWN!M375</f>
        <v>11233300</v>
      </c>
      <c r="I42" s="4">
        <f>BREAKDOWN!N375</f>
        <v>11233300</v>
      </c>
    </row>
    <row r="43" spans="1:9" s="9" customFormat="1">
      <c r="A43" s="128"/>
      <c r="B43" s="103" t="str">
        <f>BREAKDOWN!B376</f>
        <v>LIAISON OFFICE, ABUJA -TOTAL</v>
      </c>
      <c r="C43" s="5"/>
      <c r="D43" s="104">
        <f>SUM(D42)</f>
        <v>13369000</v>
      </c>
      <c r="E43" s="114">
        <f>SUM(E42)</f>
        <v>11383560</v>
      </c>
      <c r="F43" s="490">
        <f t="shared" ref="F43:G43" si="12">SUM(F42)</f>
        <v>498599.92800000001</v>
      </c>
      <c r="G43" s="468">
        <f t="shared" si="12"/>
        <v>10884960.072000001</v>
      </c>
      <c r="H43" s="113">
        <f>SUM(H42)</f>
        <v>11233300</v>
      </c>
      <c r="I43" s="113">
        <f>SUM(I42)</f>
        <v>11233300</v>
      </c>
    </row>
    <row r="44" spans="1:9">
      <c r="A44" s="127" t="str">
        <f>BREAKDOWN!A378</f>
        <v>011103300100</v>
      </c>
      <c r="B44" s="121" t="str">
        <f>BREAKDOWN!B378</f>
        <v xml:space="preserve">KADUNA STATE AIDS CONTROL AGENCY </v>
      </c>
      <c r="C44" s="3" t="str">
        <f>BREAKDOWN!C379</f>
        <v xml:space="preserve">Personnel Cost -Total </v>
      </c>
      <c r="D44" s="124">
        <v>61032933</v>
      </c>
      <c r="E44" s="28">
        <f>BREAKDOWN!J379</f>
        <v>64671902.279999994</v>
      </c>
      <c r="F44" s="488">
        <f>BREAKDOWN!K379</f>
        <v>0</v>
      </c>
      <c r="G44" s="469">
        <f>BREAKDOWN!L379</f>
        <v>64671902.279999994</v>
      </c>
      <c r="H44" s="4">
        <f>BREAKDOWN!M379</f>
        <v>71139092.507999986</v>
      </c>
      <c r="I44" s="4">
        <f>BREAKDOWN!N379</f>
        <v>78253001.758799985</v>
      </c>
    </row>
    <row r="45" spans="1:9">
      <c r="A45" s="127"/>
      <c r="B45" s="121"/>
      <c r="C45" s="3" t="str">
        <f>BREAKDOWN!C388</f>
        <v>Overhead Cost -Total</v>
      </c>
      <c r="D45" s="124">
        <v>41666000</v>
      </c>
      <c r="E45" s="28">
        <f>BREAKDOWN!J388</f>
        <v>40369000</v>
      </c>
      <c r="F45" s="488">
        <f>BREAKDOWN!K388</f>
        <v>1768162.2</v>
      </c>
      <c r="G45" s="469">
        <f>BREAKDOWN!L388</f>
        <v>38600837.799999997</v>
      </c>
      <c r="H45" s="4">
        <f>BREAKDOWN!M388</f>
        <v>95802500</v>
      </c>
      <c r="I45" s="4">
        <f>BREAKDOWN!N388</f>
        <v>94671500</v>
      </c>
    </row>
    <row r="46" spans="1:9" s="9" customFormat="1">
      <c r="A46" s="128"/>
      <c r="B46" s="103" t="str">
        <f>BREAKDOWN!B389</f>
        <v>KADUNA STATE AIDS CONTROL AGENCY -TOTAL</v>
      </c>
      <c r="C46" s="5"/>
      <c r="D46" s="104">
        <f>SUM(D44:D45)</f>
        <v>102698933</v>
      </c>
      <c r="E46" s="114">
        <f>SUM(E44:E45)</f>
        <v>105040902.28</v>
      </c>
      <c r="F46" s="490">
        <f t="shared" ref="F46:G46" si="13">SUM(F44:F45)</f>
        <v>1768162.2</v>
      </c>
      <c r="G46" s="468">
        <f t="shared" si="13"/>
        <v>103272740.07999998</v>
      </c>
      <c r="H46" s="113">
        <f>SUM(H44:H45)</f>
        <v>166941592.50799999</v>
      </c>
      <c r="I46" s="113">
        <f>SUM(I44:I45)</f>
        <v>172924501.75879997</v>
      </c>
    </row>
    <row r="47" spans="1:9">
      <c r="A47" s="127" t="s">
        <v>833</v>
      </c>
      <c r="B47" s="121" t="str">
        <f>BREAKDOWN!B391</f>
        <v>BUREAU OF PUBLIC SERVICE REFORMS</v>
      </c>
      <c r="C47" s="3" t="str">
        <f>BREAKDOWN!C405</f>
        <v>Overhead Cost -Total</v>
      </c>
      <c r="D47" s="124">
        <v>12538000</v>
      </c>
      <c r="E47" s="28">
        <f>BREAKDOWN!J405</f>
        <v>10649420</v>
      </c>
      <c r="F47" s="488">
        <f>BREAKDOWN!K405</f>
        <v>466444.59600000002</v>
      </c>
      <c r="G47" s="469">
        <f>BREAKDOWN!L405</f>
        <v>10182975.404000001</v>
      </c>
      <c r="H47" s="4">
        <f>BREAKDOWN!M405</f>
        <v>11068102</v>
      </c>
      <c r="I47" s="4">
        <f>BREAKDOWN!N405</f>
        <v>12094712.199999999</v>
      </c>
    </row>
    <row r="48" spans="1:9" s="9" customFormat="1">
      <c r="A48" s="128"/>
      <c r="B48" s="103" t="str">
        <f>BREAKDOWN!B406</f>
        <v>BUREAU OF PUBLIC SERVICE REFORMS- TOTAL</v>
      </c>
      <c r="C48" s="5"/>
      <c r="D48" s="104">
        <f>SUM(D47)</f>
        <v>12538000</v>
      </c>
      <c r="E48" s="114">
        <f>SUM(E47)</f>
        <v>10649420</v>
      </c>
      <c r="F48" s="490">
        <f t="shared" ref="F48:G48" si="14">SUM(F47)</f>
        <v>466444.59600000002</v>
      </c>
      <c r="G48" s="468">
        <f t="shared" si="14"/>
        <v>10182975.404000001</v>
      </c>
      <c r="H48" s="113">
        <f>SUM(H47)</f>
        <v>11068102</v>
      </c>
      <c r="I48" s="113">
        <f>SUM(I47)</f>
        <v>12094712.199999999</v>
      </c>
    </row>
    <row r="49" spans="1:9">
      <c r="A49" s="127" t="str">
        <f>BREAKDOWN!A408</f>
        <v>011103500100</v>
      </c>
      <c r="B49" s="121" t="str">
        <f>BREAKDOWN!B408</f>
        <v>BUREAU OF STATE PENSION</v>
      </c>
      <c r="C49" s="3" t="str">
        <f>BREAKDOWN!C409</f>
        <v>Personnel Cost -Total</v>
      </c>
      <c r="D49" s="124">
        <v>21521949</v>
      </c>
      <c r="E49" s="28">
        <f>BREAKDOWN!J409</f>
        <v>39220300.200000003</v>
      </c>
      <c r="F49" s="488">
        <f>BREAKDOWN!K409</f>
        <v>0</v>
      </c>
      <c r="G49" s="469">
        <f>BREAKDOWN!L409</f>
        <v>39220300.200000003</v>
      </c>
      <c r="H49" s="4">
        <f>BREAKDOWN!M409</f>
        <v>18507466.747000001</v>
      </c>
      <c r="I49" s="4">
        <f>BREAKDOWN!N409</f>
        <v>20358213.421700001</v>
      </c>
    </row>
    <row r="50" spans="1:9">
      <c r="A50" s="127"/>
      <c r="B50" s="121"/>
      <c r="C50" s="3" t="str">
        <f>BREAKDOWN!C422</f>
        <v>Overhead Cost- Total</v>
      </c>
      <c r="D50" s="124">
        <v>3654000</v>
      </c>
      <c r="E50" s="28">
        <f>BREAKDOWN!J422</f>
        <v>28841500</v>
      </c>
      <c r="F50" s="488">
        <f>BREAKDOWN!K422</f>
        <v>1263257.7</v>
      </c>
      <c r="G50" s="469">
        <f>BREAKDOWN!L422</f>
        <v>27578242.300000001</v>
      </c>
      <c r="H50" s="4">
        <f>BREAKDOWN!M422</f>
        <v>45546500</v>
      </c>
      <c r="I50" s="4">
        <f>BREAKDOWN!N422</f>
        <v>45546500</v>
      </c>
    </row>
    <row r="51" spans="1:9" s="9" customFormat="1">
      <c r="A51" s="128"/>
      <c r="B51" s="103" t="str">
        <f>BREAKDOWN!B423</f>
        <v>BUREAU OF STATE PENSION -TOTAL</v>
      </c>
      <c r="C51" s="5"/>
      <c r="D51" s="104">
        <f>SUM(D49:D50)</f>
        <v>25175949</v>
      </c>
      <c r="E51" s="114">
        <f>SUM(E49:E50)</f>
        <v>68061800.200000003</v>
      </c>
      <c r="F51" s="490">
        <f t="shared" ref="F51:G51" si="15">SUM(F49:F50)</f>
        <v>1263257.7</v>
      </c>
      <c r="G51" s="468">
        <f t="shared" si="15"/>
        <v>66798542.5</v>
      </c>
      <c r="H51" s="113">
        <f>SUM(H49:H50)</f>
        <v>64053966.747000001</v>
      </c>
      <c r="I51" s="113">
        <f>SUM(I49:I50)</f>
        <v>65904713.421700001</v>
      </c>
    </row>
    <row r="52" spans="1:9">
      <c r="A52" s="127" t="str">
        <f>BREAKDOWN!A425</f>
        <v>011103700100</v>
      </c>
      <c r="B52" s="121" t="str">
        <f>BREAKDOWN!B425</f>
        <v>BUREAU OF INTERFAITH MATTERS</v>
      </c>
      <c r="C52" s="3" t="str">
        <f>BREAKDOWN!C426</f>
        <v>Personnel Cost -Total</v>
      </c>
      <c r="D52" s="124">
        <f>23288263+13031385+1</f>
        <v>36319649</v>
      </c>
      <c r="E52" s="28">
        <f>BREAKDOWN!J426</f>
        <v>34821231.899999999</v>
      </c>
      <c r="F52" s="488">
        <f>BREAKDOWN!K426</f>
        <v>0</v>
      </c>
      <c r="G52" s="469">
        <f>BREAKDOWN!L426</f>
        <v>34821231.899999999</v>
      </c>
      <c r="H52" s="4">
        <f>BREAKDOWN!M426</f>
        <v>38303355.089999996</v>
      </c>
      <c r="I52" s="4">
        <f>BREAKDOWN!N426</f>
        <v>42133690.598999992</v>
      </c>
    </row>
    <row r="53" spans="1:9">
      <c r="A53" s="127"/>
      <c r="B53" s="121"/>
      <c r="C53" s="3" t="str">
        <f>BREAKDOWN!C438</f>
        <v>Overhead Cost -Total</v>
      </c>
      <c r="D53" s="124">
        <f>13714000+6984000+359999+719998-1439996</f>
        <v>20338001</v>
      </c>
      <c r="E53" s="28">
        <f>BREAKDOWN!J438</f>
        <v>12706600</v>
      </c>
      <c r="F53" s="488">
        <f>BREAKDOWN!K438</f>
        <v>556549.07999999984</v>
      </c>
      <c r="G53" s="469">
        <f>BREAKDOWN!L438</f>
        <v>12150050.920000002</v>
      </c>
      <c r="H53" s="4">
        <f>BREAKDOWN!M438</f>
        <v>12859600</v>
      </c>
      <c r="I53" s="4">
        <f>BREAKDOWN!N438</f>
        <v>12859600</v>
      </c>
    </row>
    <row r="54" spans="1:9" s="9" customFormat="1">
      <c r="A54" s="128"/>
      <c r="B54" s="103" t="str">
        <f>BREAKDOWN!B439</f>
        <v>BUREAU OF INTERFAITH MATTERS- TOTAL</v>
      </c>
      <c r="C54" s="5"/>
      <c r="D54" s="104">
        <f>SUM(D52:D53)</f>
        <v>56657650</v>
      </c>
      <c r="E54" s="114">
        <f>SUM(E52:E53)</f>
        <v>47527831.899999999</v>
      </c>
      <c r="F54" s="490">
        <f t="shared" ref="F54:G54" si="16">SUM(F52:F53)</f>
        <v>556549.07999999984</v>
      </c>
      <c r="G54" s="468">
        <f t="shared" si="16"/>
        <v>46971282.82</v>
      </c>
      <c r="H54" s="113">
        <f>SUM(H52:H53)</f>
        <v>51162955.089999996</v>
      </c>
      <c r="I54" s="113">
        <f>SUM(I52:I53)</f>
        <v>54993290.598999992</v>
      </c>
    </row>
    <row r="55" spans="1:9">
      <c r="A55" s="127" t="str">
        <f>BREAKDOWN!A441</f>
        <v>011103700200</v>
      </c>
      <c r="B55" s="121" t="str">
        <f>BREAKDOWN!B441</f>
        <v>MUSLIMS PILGRIMS WELFARE BOARD</v>
      </c>
      <c r="C55" s="3" t="str">
        <f>BREAKDOWN!C450</f>
        <v>Personnel Cost -Total</v>
      </c>
      <c r="D55" s="124">
        <v>42987146</v>
      </c>
      <c r="E55" s="28">
        <f>BREAKDOWN!J450</f>
        <v>42082689.768000007</v>
      </c>
      <c r="F55" s="488">
        <f>BREAKDOWN!K450</f>
        <v>0</v>
      </c>
      <c r="G55" s="469">
        <f>BREAKDOWN!L450</f>
        <v>42082689.768000007</v>
      </c>
      <c r="H55" s="4">
        <f>BREAKDOWN!M450</f>
        <v>46290958.744800016</v>
      </c>
      <c r="I55" s="4">
        <f>BREAKDOWN!N450</f>
        <v>50920054.619280018</v>
      </c>
    </row>
    <row r="56" spans="1:9">
      <c r="A56" s="127"/>
      <c r="B56" s="121"/>
      <c r="C56" s="3" t="str">
        <f>BREAKDOWN!C467</f>
        <v>Overhead Cost -Total</v>
      </c>
      <c r="D56" s="124">
        <v>4957000</v>
      </c>
      <c r="E56" s="28">
        <f>BREAKDOWN!J467</f>
        <v>4572905</v>
      </c>
      <c r="F56" s="488">
        <f>BREAKDOWN!K467</f>
        <v>200293.23899999997</v>
      </c>
      <c r="G56" s="469">
        <f>BREAKDOWN!L467</f>
        <v>4372611.7609999999</v>
      </c>
      <c r="H56" s="4">
        <f>BREAKDOWN!M467</f>
        <v>6762505</v>
      </c>
      <c r="I56" s="4">
        <f>BREAKDOWN!N467</f>
        <v>6576105</v>
      </c>
    </row>
    <row r="57" spans="1:9" s="9" customFormat="1">
      <c r="A57" s="128"/>
      <c r="B57" s="103" t="str">
        <f>BREAKDOWN!B468</f>
        <v>MUSLIMS PILGRIMS WELFARE BOARD -TOTAL</v>
      </c>
      <c r="C57" s="5"/>
      <c r="D57" s="104">
        <f>SUM(D55:D56)</f>
        <v>47944146</v>
      </c>
      <c r="E57" s="114">
        <f>SUM(E55:E56)</f>
        <v>46655594.768000007</v>
      </c>
      <c r="F57" s="490">
        <f t="shared" ref="F57:G57" si="17">SUM(F55:F56)</f>
        <v>200293.23899999997</v>
      </c>
      <c r="G57" s="468">
        <f t="shared" si="17"/>
        <v>46455301.529000007</v>
      </c>
      <c r="H57" s="113">
        <f>SUM(H55:H56)</f>
        <v>53053463.744800016</v>
      </c>
      <c r="I57" s="113">
        <f>SUM(I55:I56)</f>
        <v>57496159.619280018</v>
      </c>
    </row>
    <row r="58" spans="1:9" s="38" customFormat="1">
      <c r="A58" s="129" t="str">
        <f>BREAKDOWN!A470</f>
        <v>011103800200</v>
      </c>
      <c r="B58" s="105" t="str">
        <f>BREAKDOWN!B470</f>
        <v>CHRISTIANS PILGRIMS WELFARE BOARD</v>
      </c>
      <c r="C58" s="75" t="str">
        <f>BREAKDOWN!C471</f>
        <v>Personnel Cost -Total</v>
      </c>
      <c r="D58" s="107">
        <v>15184928</v>
      </c>
      <c r="E58" s="297">
        <f>BREAKDOWN!J471</f>
        <v>13709514</v>
      </c>
      <c r="F58" s="491">
        <f>BREAKDOWN!K471</f>
        <v>0</v>
      </c>
      <c r="G58" s="467">
        <f>BREAKDOWN!L471</f>
        <v>13709514</v>
      </c>
      <c r="H58" s="4">
        <f>BREAKDOWN!M471</f>
        <v>14101322</v>
      </c>
      <c r="I58" s="4">
        <f>BREAKDOWN!N471</f>
        <v>14449229</v>
      </c>
    </row>
    <row r="59" spans="1:9" s="38" customFormat="1">
      <c r="A59" s="129"/>
      <c r="B59" s="105"/>
      <c r="C59" s="75" t="str">
        <f>BREAKDOWN!C490</f>
        <v>Overhead Cost- Total</v>
      </c>
      <c r="D59" s="107">
        <v>4025000</v>
      </c>
      <c r="E59" s="297">
        <f>BREAKDOWN!J490</f>
        <v>4719076.96</v>
      </c>
      <c r="F59" s="491">
        <f>BREAKDOWN!K490</f>
        <v>206695.57084800003</v>
      </c>
      <c r="G59" s="467">
        <f>BREAKDOWN!L490</f>
        <v>4512381.3891520007</v>
      </c>
      <c r="H59" s="4">
        <f>BREAKDOWN!M490</f>
        <v>4395076.96</v>
      </c>
      <c r="I59" s="4">
        <f>BREAKDOWN!N490</f>
        <v>4520876.96</v>
      </c>
    </row>
    <row r="60" spans="1:9" s="9" customFormat="1">
      <c r="A60" s="128"/>
      <c r="B60" s="103" t="str">
        <f>BREAKDOWN!B491</f>
        <v>CHRISTIANS PILGRIMS WELFARE BOARD- TOTAL</v>
      </c>
      <c r="C60" s="5"/>
      <c r="D60" s="104">
        <f>SUM(D58:D59)</f>
        <v>19209928</v>
      </c>
      <c r="E60" s="114">
        <f>SUM(E58:E59)</f>
        <v>18428590.960000001</v>
      </c>
      <c r="F60" s="490">
        <f t="shared" ref="F60:G60" si="18">SUM(F58:F59)</f>
        <v>206695.57084800003</v>
      </c>
      <c r="G60" s="468">
        <f t="shared" si="18"/>
        <v>18221895.389152002</v>
      </c>
      <c r="H60" s="113">
        <f>SUM(H58:H59)</f>
        <v>18496398.960000001</v>
      </c>
      <c r="I60" s="113">
        <f>SUM(I58:I59)</f>
        <v>18970105.960000001</v>
      </c>
    </row>
    <row r="61" spans="1:9">
      <c r="A61" s="127" t="str">
        <f>BREAKDOWN!A493</f>
        <v>011200300100</v>
      </c>
      <c r="B61" s="121" t="str">
        <f>BREAKDOWN!B493</f>
        <v>KADUNA STATE LEGISLATURE</v>
      </c>
      <c r="C61" s="3" t="str">
        <f>BREAKDOWN!C494</f>
        <v>Personnel Cost- total</v>
      </c>
      <c r="D61" s="124">
        <f>669468576+1</f>
        <v>669468577</v>
      </c>
      <c r="E61" s="28">
        <f>BREAKDOWN!J494</f>
        <v>677443964.80000007</v>
      </c>
      <c r="F61" s="488">
        <f>BREAKDOWN!K494</f>
        <v>0</v>
      </c>
      <c r="G61" s="469">
        <f>BREAKDOWN!L494</f>
        <v>677443964.80000007</v>
      </c>
      <c r="H61" s="4">
        <f>BREAKDOWN!M494</f>
        <v>648412082.78000009</v>
      </c>
      <c r="I61" s="4">
        <f>BREAKDOWN!N494</f>
        <v>713253291.05800009</v>
      </c>
    </row>
    <row r="62" spans="1:9">
      <c r="A62" s="127"/>
      <c r="B62" s="121"/>
      <c r="C62" s="3" t="str">
        <f>BREAKDOWN!C534</f>
        <v>Overhead Cost -Total</v>
      </c>
      <c r="D62" s="124">
        <v>1563170921</v>
      </c>
      <c r="E62" s="28">
        <f>BREAKDOWN!J534</f>
        <v>2008802678</v>
      </c>
      <c r="F62" s="488">
        <f>BREAKDOWN!K534</f>
        <v>87985557.296399996</v>
      </c>
      <c r="G62" s="469">
        <f>BREAKDOWN!L534</f>
        <v>1920817120.7036002</v>
      </c>
      <c r="H62" s="4">
        <f>BREAKDOWN!M534</f>
        <v>2184349870.5500002</v>
      </c>
      <c r="I62" s="4">
        <f>BREAKDOWN!N534</f>
        <v>2287577750.0999999</v>
      </c>
    </row>
    <row r="63" spans="1:9" s="9" customFormat="1">
      <c r="A63" s="128"/>
      <c r="B63" s="103" t="str">
        <f>BREAKDOWN!B535</f>
        <v>KADUNA STATE LEGISLATURE- TOTAL</v>
      </c>
      <c r="C63" s="5"/>
      <c r="D63" s="104">
        <f>SUM(D61:D62)</f>
        <v>2232639498</v>
      </c>
      <c r="E63" s="114">
        <f>SUM(E61:E62)</f>
        <v>2686246642.8000002</v>
      </c>
      <c r="F63" s="490">
        <f t="shared" ref="F63:G63" si="19">SUM(F61:F62)</f>
        <v>87985557.296399996</v>
      </c>
      <c r="G63" s="468">
        <f t="shared" si="19"/>
        <v>2598261085.5036001</v>
      </c>
      <c r="H63" s="113">
        <f>SUM(H61:H62)</f>
        <v>2832761953.3300004</v>
      </c>
      <c r="I63" s="113">
        <f>SUM(I61:I62)</f>
        <v>3000831041.158</v>
      </c>
    </row>
    <row r="64" spans="1:9">
      <c r="A64" s="127" t="str">
        <f>BREAKDOWN!A537</f>
        <v>011200400100</v>
      </c>
      <c r="B64" s="121" t="str">
        <f>BREAKDOWN!B537</f>
        <v>KADUNA STATE ASSEMBLY SERVICE COMMISSION</v>
      </c>
      <c r="C64" s="3" t="str">
        <f>BREAKDOWN!C548</f>
        <v>Personnel Cost- Total</v>
      </c>
      <c r="D64" s="124">
        <v>41009599</v>
      </c>
      <c r="E64" s="28">
        <f>BREAKDOWN!J548</f>
        <v>34934438.199999996</v>
      </c>
      <c r="F64" s="488">
        <f>BREAKDOWN!K548</f>
        <v>0</v>
      </c>
      <c r="G64" s="469">
        <f>BREAKDOWN!L548</f>
        <v>34934438.199999996</v>
      </c>
      <c r="H64" s="4">
        <f>BREAKDOWN!M548</f>
        <v>37878820.584000006</v>
      </c>
      <c r="I64" s="4">
        <f>BREAKDOWN!N548</f>
        <v>41666702.642400004</v>
      </c>
    </row>
    <row r="65" spans="1:9">
      <c r="A65" s="127"/>
      <c r="B65" s="121"/>
      <c r="C65" s="3" t="str">
        <f>BREAKDOWN!C560</f>
        <v>Overhead Cost -Total</v>
      </c>
      <c r="D65" s="124">
        <v>7088000</v>
      </c>
      <c r="E65" s="28">
        <f>BREAKDOWN!J560</f>
        <v>11082150</v>
      </c>
      <c r="F65" s="488">
        <f>BREAKDOWN!K560</f>
        <v>485398.16999999993</v>
      </c>
      <c r="G65" s="469">
        <f>BREAKDOWN!L560</f>
        <v>10596751.830000002</v>
      </c>
      <c r="H65" s="4">
        <f>BREAKDOWN!M560</f>
        <v>9205800</v>
      </c>
      <c r="I65" s="4">
        <f>BREAKDOWN!N560</f>
        <v>9208600</v>
      </c>
    </row>
    <row r="66" spans="1:9" s="9" customFormat="1" ht="30">
      <c r="A66" s="128"/>
      <c r="B66" s="103" t="str">
        <f>BREAKDOWN!B561</f>
        <v>KADUNA STATE ASSEMBLY SERVICE COMMISSION -TOTAL</v>
      </c>
      <c r="C66" s="5"/>
      <c r="D66" s="104">
        <f>SUM(D64:D65)</f>
        <v>48097599</v>
      </c>
      <c r="E66" s="114">
        <f>SUM(E64:E65)</f>
        <v>46016588.199999996</v>
      </c>
      <c r="F66" s="490">
        <f t="shared" ref="F66:G66" si="20">SUM(F64:F65)</f>
        <v>485398.16999999993</v>
      </c>
      <c r="G66" s="468">
        <f t="shared" si="20"/>
        <v>45531190.030000001</v>
      </c>
      <c r="H66" s="113">
        <f>SUM(H64:H65)</f>
        <v>47084620.584000006</v>
      </c>
      <c r="I66" s="113">
        <f>SUM(I64:I65)</f>
        <v>50875302.642400004</v>
      </c>
    </row>
    <row r="67" spans="1:9">
      <c r="A67" s="127" t="str">
        <f>BREAKDOWN!A563</f>
        <v>012500100100</v>
      </c>
      <c r="B67" s="121" t="str">
        <f>BREAKDOWN!B563</f>
        <v>OFFICE OF THE HEAD OF SERVICE</v>
      </c>
      <c r="C67" s="3" t="str">
        <f>BREAKDOWN!C574</f>
        <v>Personnel Cost- Total</v>
      </c>
      <c r="D67" s="124">
        <v>202998915</v>
      </c>
      <c r="E67" s="28">
        <f>BREAKDOWN!J574</f>
        <v>176630348.102</v>
      </c>
      <c r="F67" s="488">
        <f>BREAKDOWN!K574</f>
        <v>0</v>
      </c>
      <c r="G67" s="469">
        <f>BREAKDOWN!L574</f>
        <v>176630348.102</v>
      </c>
      <c r="H67" s="4">
        <f>BREAKDOWN!M574</f>
        <v>1295289718.9122</v>
      </c>
      <c r="I67" s="4">
        <f>BREAKDOWN!N574</f>
        <v>1424818690.8034201</v>
      </c>
    </row>
    <row r="68" spans="1:9">
      <c r="A68" s="127"/>
      <c r="B68" s="121"/>
      <c r="C68" s="3" t="str">
        <f>BREAKDOWN!C590</f>
        <v>Overhead Cost -Total</v>
      </c>
      <c r="D68" s="124">
        <v>949917000</v>
      </c>
      <c r="E68" s="28">
        <f>BREAKDOWN!J590</f>
        <v>741700620</v>
      </c>
      <c r="F68" s="488">
        <f>BREAKDOWN!K590</f>
        <v>32486487.155999999</v>
      </c>
      <c r="G68" s="469">
        <f>BREAKDOWN!L590</f>
        <v>709214132.84399998</v>
      </c>
      <c r="H68" s="4">
        <f>BREAKDOWN!M590</f>
        <v>719221420</v>
      </c>
      <c r="I68" s="4">
        <f>BREAKDOWN!N590</f>
        <v>737333800</v>
      </c>
    </row>
    <row r="69" spans="1:9" s="9" customFormat="1">
      <c r="A69" s="128"/>
      <c r="B69" s="103" t="str">
        <f>BREAKDOWN!B591</f>
        <v>OFFICE OF THE HEAD OF SERVICE -TOTAL</v>
      </c>
      <c r="C69" s="5"/>
      <c r="D69" s="104">
        <f>SUM(D67:D68)</f>
        <v>1152915915</v>
      </c>
      <c r="E69" s="114">
        <f>SUM(E67:E68)</f>
        <v>918330968.102</v>
      </c>
      <c r="F69" s="490">
        <f t="shared" ref="F69:G69" si="21">SUM(F67:F68)</f>
        <v>32486487.155999999</v>
      </c>
      <c r="G69" s="468">
        <f t="shared" si="21"/>
        <v>885844480.94599998</v>
      </c>
      <c r="H69" s="113">
        <f>SUM(H67:H68)</f>
        <v>2014511138.9122</v>
      </c>
      <c r="I69" s="113">
        <f>SUM(I67:I68)</f>
        <v>2162152490.8034201</v>
      </c>
    </row>
    <row r="70" spans="1:9" ht="30">
      <c r="A70" s="127" t="str">
        <f>BREAKDOWN!A593</f>
        <v>012500500100</v>
      </c>
      <c r="B70" s="121" t="str">
        <f>BREAKDOWN!B593</f>
        <v>BUREAU OF ESTABLISHMENTS, MANAGEMENT SERVICES AND TRAINING</v>
      </c>
      <c r="C70" s="3" t="str">
        <f>BREAKDOWN!C594</f>
        <v>Personnel Cost -Total</v>
      </c>
      <c r="D70" s="124">
        <v>43232648</v>
      </c>
      <c r="E70" s="28">
        <f>BREAKDOWN!J594</f>
        <v>25356311.039999999</v>
      </c>
      <c r="F70" s="488">
        <f>BREAKDOWN!K594</f>
        <v>0</v>
      </c>
      <c r="G70" s="469">
        <f>BREAKDOWN!L594</f>
        <v>25356311.039999999</v>
      </c>
      <c r="H70" s="4">
        <f>BREAKDOWN!M594</f>
        <v>27891942.144000001</v>
      </c>
      <c r="I70" s="4">
        <f>BREAKDOWN!N594</f>
        <v>30681136.358400002</v>
      </c>
    </row>
    <row r="71" spans="1:9">
      <c r="A71" s="127"/>
      <c r="B71" s="121"/>
      <c r="C71" s="3" t="str">
        <f>BREAKDOWN!C610</f>
        <v>Overhead Cost -Total</v>
      </c>
      <c r="D71" s="124">
        <v>103554000</v>
      </c>
      <c r="E71" s="28">
        <f>BREAKDOWN!J610</f>
        <v>56732500</v>
      </c>
      <c r="F71" s="488">
        <f>BREAKDOWN!K610</f>
        <v>2484883.4999999995</v>
      </c>
      <c r="G71" s="469">
        <f>BREAKDOWN!L610</f>
        <v>54247616.5</v>
      </c>
      <c r="H71" s="4">
        <f>BREAKDOWN!M610</f>
        <v>32820300</v>
      </c>
      <c r="I71" s="4">
        <f>BREAKDOWN!N610</f>
        <v>33332500</v>
      </c>
    </row>
    <row r="72" spans="1:9" s="9" customFormat="1" ht="30">
      <c r="A72" s="128"/>
      <c r="B72" s="103" t="str">
        <f>BREAKDOWN!B611</f>
        <v>BUREAU OF ESTABLISHMENTS, MANAGEMENT SERVICES AND TRAINING -TOTAL</v>
      </c>
      <c r="C72" s="5"/>
      <c r="D72" s="104">
        <f>SUM(D70:D71)</f>
        <v>146786648</v>
      </c>
      <c r="E72" s="114">
        <f>SUM(E70:E71)</f>
        <v>82088811.039999992</v>
      </c>
      <c r="F72" s="490">
        <f t="shared" ref="F72:G72" si="22">SUM(F70:F71)</f>
        <v>2484883.4999999995</v>
      </c>
      <c r="G72" s="468">
        <f t="shared" si="22"/>
        <v>79603927.539999992</v>
      </c>
      <c r="H72" s="113">
        <f>SUM(H70:H71)</f>
        <v>60712242.144000001</v>
      </c>
      <c r="I72" s="113">
        <f>SUM(I70:I71)</f>
        <v>64013636.358400002</v>
      </c>
    </row>
    <row r="73" spans="1:9">
      <c r="A73" s="127" t="str">
        <f>BREAKDOWN!A613</f>
        <v>012500500200</v>
      </c>
      <c r="B73" s="121" t="str">
        <f>BREAKDOWN!B613</f>
        <v>KADUNA STATE PUBLIC SERVICE INSTITUTE (KAPSI)</v>
      </c>
      <c r="C73" s="3" t="str">
        <f>BREAKDOWN!C614</f>
        <v>Personnel Cost- Total</v>
      </c>
      <c r="D73" s="124">
        <v>105327780</v>
      </c>
      <c r="E73" s="28">
        <f>BREAKDOWN!J614</f>
        <v>101316060</v>
      </c>
      <c r="F73" s="488">
        <f>BREAKDOWN!K614</f>
        <v>0</v>
      </c>
      <c r="G73" s="469">
        <f>BREAKDOWN!L614</f>
        <v>101316060</v>
      </c>
      <c r="H73" s="4">
        <f>BREAKDOWN!M614</f>
        <v>111447666</v>
      </c>
      <c r="I73" s="4">
        <f>BREAKDOWN!N614</f>
        <v>122592432.59999999</v>
      </c>
    </row>
    <row r="74" spans="1:9">
      <c r="A74" s="127"/>
      <c r="B74" s="121"/>
      <c r="C74" s="3" t="str">
        <f>BREAKDOWN!C633</f>
        <v>Overhead Cost -Total</v>
      </c>
      <c r="D74" s="124">
        <v>20522000</v>
      </c>
      <c r="E74" s="28">
        <f>BREAKDOWN!J633</f>
        <v>20459990</v>
      </c>
      <c r="F74" s="488">
        <f>BREAKDOWN!K633</f>
        <v>896147.56199999992</v>
      </c>
      <c r="G74" s="469">
        <f>BREAKDOWN!L633</f>
        <v>19563842.437999997</v>
      </c>
      <c r="H74" s="4">
        <f>BREAKDOWN!M633</f>
        <v>20435990</v>
      </c>
      <c r="I74" s="4">
        <f>BREAKDOWN!N633</f>
        <v>20405990</v>
      </c>
    </row>
    <row r="75" spans="1:9" s="9" customFormat="1" ht="30">
      <c r="A75" s="128"/>
      <c r="B75" s="103" t="str">
        <f>BREAKDOWN!B634</f>
        <v>KADUNA STATE PUBLIC SERVICE INSTITUTE (KAPSI) -TOTAL</v>
      </c>
      <c r="C75" s="5"/>
      <c r="D75" s="104">
        <f>SUM(D73:D74)</f>
        <v>125849780</v>
      </c>
      <c r="E75" s="114">
        <f>SUM(E73:E74)</f>
        <v>121776050</v>
      </c>
      <c r="F75" s="490">
        <f t="shared" ref="F75:G75" si="23">SUM(F73:F74)</f>
        <v>896147.56199999992</v>
      </c>
      <c r="G75" s="468">
        <f t="shared" si="23"/>
        <v>120879902.43799999</v>
      </c>
      <c r="H75" s="113">
        <f>SUM(H73:H74)</f>
        <v>131883656</v>
      </c>
      <c r="I75" s="113">
        <f>SUM(I73:I74)</f>
        <v>142998422.59999999</v>
      </c>
    </row>
    <row r="76" spans="1:9" s="38" customFormat="1">
      <c r="A76" s="129" t="s">
        <v>713</v>
      </c>
      <c r="B76" s="105" t="s">
        <v>153</v>
      </c>
      <c r="C76" s="75" t="s">
        <v>710</v>
      </c>
      <c r="D76" s="107">
        <v>23713836</v>
      </c>
      <c r="E76" s="297">
        <v>0</v>
      </c>
      <c r="F76" s="491">
        <v>0</v>
      </c>
      <c r="G76" s="467">
        <v>0</v>
      </c>
      <c r="H76" s="297">
        <v>0</v>
      </c>
      <c r="I76" s="297">
        <v>0</v>
      </c>
    </row>
    <row r="77" spans="1:9" s="38" customFormat="1">
      <c r="A77" s="129"/>
      <c r="B77" s="105"/>
      <c r="C77" s="75" t="s">
        <v>711</v>
      </c>
      <c r="D77" s="107">
        <v>8959000</v>
      </c>
      <c r="E77" s="297">
        <v>0</v>
      </c>
      <c r="F77" s="491">
        <v>0</v>
      </c>
      <c r="G77" s="467">
        <v>0</v>
      </c>
      <c r="H77" s="297">
        <v>0</v>
      </c>
      <c r="I77" s="297">
        <v>0</v>
      </c>
    </row>
    <row r="78" spans="1:9" s="9" customFormat="1" ht="30">
      <c r="A78" s="128"/>
      <c r="B78" s="103" t="s">
        <v>714</v>
      </c>
      <c r="C78" s="5"/>
      <c r="D78" s="104">
        <f>SUM(D76:D77)</f>
        <v>32672836</v>
      </c>
      <c r="E78" s="114">
        <v>0</v>
      </c>
      <c r="F78" s="490">
        <v>0</v>
      </c>
      <c r="G78" s="468">
        <v>0</v>
      </c>
      <c r="H78" s="114">
        <v>0</v>
      </c>
      <c r="I78" s="114">
        <v>0</v>
      </c>
    </row>
    <row r="79" spans="1:9">
      <c r="A79" s="127" t="str">
        <f>BREAKDOWN!A636</f>
        <v>014000100100</v>
      </c>
      <c r="B79" s="121" t="str">
        <f>BREAKDOWN!B636</f>
        <v>OFFICE OF THE STATE AUDITOR-GENERAL</v>
      </c>
      <c r="C79" s="3" t="str">
        <f>BREAKDOWN!C646</f>
        <v>Personnel Cost- Total</v>
      </c>
      <c r="D79" s="124">
        <v>106780204</v>
      </c>
      <c r="E79" s="28">
        <f>BREAKDOWN!J646</f>
        <v>105881972</v>
      </c>
      <c r="F79" s="488">
        <f>BREAKDOWN!K646</f>
        <v>0</v>
      </c>
      <c r="G79" s="469">
        <f>BREAKDOWN!L646</f>
        <v>105881972</v>
      </c>
      <c r="H79" s="4">
        <f>BREAKDOWN!M646</f>
        <v>110326880.40000001</v>
      </c>
      <c r="I79" s="4">
        <f>BREAKDOWN!N646</f>
        <v>121359568.44000001</v>
      </c>
    </row>
    <row r="80" spans="1:9">
      <c r="A80" s="127"/>
      <c r="B80" s="121"/>
      <c r="C80" s="3" t="str">
        <f>BREAKDOWN!C661</f>
        <v>Overhead Cost -Total</v>
      </c>
      <c r="D80" s="124">
        <v>27281000</v>
      </c>
      <c r="E80" s="28">
        <f>BREAKDOWN!J661</f>
        <v>32720400</v>
      </c>
      <c r="F80" s="488">
        <f>BREAKDOWN!K661</f>
        <v>1433153.52</v>
      </c>
      <c r="G80" s="469">
        <f>BREAKDOWN!L661</f>
        <v>31287246.48</v>
      </c>
      <c r="H80" s="4">
        <f>BREAKDOWN!M661</f>
        <v>33067800</v>
      </c>
      <c r="I80" s="4">
        <f>BREAKDOWN!N661</f>
        <v>33067800</v>
      </c>
    </row>
    <row r="81" spans="1:9" s="9" customFormat="1">
      <c r="A81" s="128"/>
      <c r="B81" s="103" t="str">
        <f>BREAKDOWN!B662</f>
        <v>OFFICE OF THE STATE AUDITOR-GENERAL -TOTAL</v>
      </c>
      <c r="C81" s="5"/>
      <c r="D81" s="104">
        <f>SUM(D79:D80)</f>
        <v>134061204</v>
      </c>
      <c r="E81" s="114">
        <f>SUM(E79:E80)</f>
        <v>138602372</v>
      </c>
      <c r="F81" s="490">
        <f t="shared" ref="F81:G81" si="24">SUM(F79:F80)</f>
        <v>1433153.52</v>
      </c>
      <c r="G81" s="468">
        <f t="shared" si="24"/>
        <v>137169218.47999999</v>
      </c>
      <c r="H81" s="113">
        <f>SUM(H79:H80)</f>
        <v>143394680.40000001</v>
      </c>
      <c r="I81" s="113">
        <f>SUM(I79:I80)</f>
        <v>154427368.44</v>
      </c>
    </row>
    <row r="82" spans="1:9">
      <c r="A82" s="127" t="str">
        <f>BREAKDOWN!A664</f>
        <v>014700100100</v>
      </c>
      <c r="B82" s="121" t="str">
        <f>BREAKDOWN!B664</f>
        <v>CIVIL SERVICE COMMISSION, KADUNA STATE</v>
      </c>
      <c r="C82" s="3" t="str">
        <f>BREAKDOWN!C674</f>
        <v>Personnel Cost- Total</v>
      </c>
      <c r="D82" s="124">
        <v>50618101</v>
      </c>
      <c r="E82" s="28">
        <f>BREAKDOWN!J674</f>
        <v>49479335.399999999</v>
      </c>
      <c r="F82" s="488">
        <f>BREAKDOWN!K674</f>
        <v>0</v>
      </c>
      <c r="G82" s="469">
        <f>BREAKDOWN!L674</f>
        <v>49479335.399999999</v>
      </c>
      <c r="H82" s="4">
        <f>BREAKDOWN!M674</f>
        <v>44821688.069999993</v>
      </c>
      <c r="I82" s="4">
        <f>BREAKDOWN!N674</f>
        <v>54550966.680000015</v>
      </c>
    </row>
    <row r="83" spans="1:9">
      <c r="A83" s="127"/>
      <c r="B83" s="121"/>
      <c r="C83" s="3" t="str">
        <f>BREAKDOWN!C689</f>
        <v>Overhead Cost- Total</v>
      </c>
      <c r="D83" s="124">
        <v>18625000</v>
      </c>
      <c r="E83" s="28">
        <f>BREAKDOWN!J689</f>
        <v>18363115.98</v>
      </c>
      <c r="F83" s="488">
        <f>BREAKDOWN!K689</f>
        <v>804304.47992399998</v>
      </c>
      <c r="G83" s="469">
        <f>BREAKDOWN!L689</f>
        <v>17558811.500076003</v>
      </c>
      <c r="H83" s="4">
        <f>BREAKDOWN!M689</f>
        <v>10029299.98</v>
      </c>
      <c r="I83" s="4">
        <f>BREAKDOWN!N689</f>
        <v>10029299.98</v>
      </c>
    </row>
    <row r="84" spans="1:9" s="9" customFormat="1" ht="30">
      <c r="A84" s="128"/>
      <c r="B84" s="103" t="str">
        <f>BREAKDOWN!B690</f>
        <v>CIVIL SERVICE COMMISSION, KADUNA STATE- TOTAL</v>
      </c>
      <c r="C84" s="5"/>
      <c r="D84" s="104">
        <f>SUM(D82:D83)</f>
        <v>69243101</v>
      </c>
      <c r="E84" s="114">
        <f>SUM(E82:E83)</f>
        <v>67842451.379999995</v>
      </c>
      <c r="F84" s="490">
        <f t="shared" ref="F84:G84" si="25">SUM(F82:F83)</f>
        <v>804304.47992399998</v>
      </c>
      <c r="G84" s="468">
        <f t="shared" si="25"/>
        <v>67038146.900076002</v>
      </c>
      <c r="H84" s="113">
        <f>SUM(H82:H83)</f>
        <v>54850988.049999997</v>
      </c>
      <c r="I84" s="113">
        <f>SUM(I82:I83)</f>
        <v>64580266.660000011</v>
      </c>
    </row>
    <row r="85" spans="1:9">
      <c r="A85" s="127" t="str">
        <f>BREAKDOWN!A692</f>
        <v>014800100100</v>
      </c>
      <c r="B85" s="121" t="str">
        <f>BREAKDOWN!B692</f>
        <v>STATE INDEPENDENT ELECTORAL COMMISSION</v>
      </c>
      <c r="C85" s="3" t="str">
        <f>BREAKDOWN!C693</f>
        <v>Personnel Cost -Total</v>
      </c>
      <c r="D85" s="124">
        <v>91547882</v>
      </c>
      <c r="E85" s="28">
        <f>BREAKDOWN!J693</f>
        <v>60758153.640000001</v>
      </c>
      <c r="F85" s="488">
        <f>BREAKDOWN!K693</f>
        <v>0</v>
      </c>
      <c r="G85" s="469">
        <f>BREAKDOWN!L693</f>
        <v>60758153.640000001</v>
      </c>
      <c r="H85" s="4">
        <f>BREAKDOWN!M693</f>
        <v>66833969.004000001</v>
      </c>
      <c r="I85" s="4">
        <f>BREAKDOWN!N693</f>
        <v>73517365.904400006</v>
      </c>
    </row>
    <row r="86" spans="1:9">
      <c r="A86" s="127"/>
      <c r="B86" s="121"/>
      <c r="C86" s="3" t="str">
        <f>BREAKDOWN!C708</f>
        <v>Overhead Cost- Total</v>
      </c>
      <c r="D86" s="124">
        <v>20665000</v>
      </c>
      <c r="E86" s="28">
        <f>BREAKDOWN!J708</f>
        <v>18854320</v>
      </c>
      <c r="F86" s="488">
        <f>BREAKDOWN!K708</f>
        <v>825819.21600000001</v>
      </c>
      <c r="G86" s="469">
        <f>BREAKDOWN!L708</f>
        <v>18028500.783999998</v>
      </c>
      <c r="H86" s="4">
        <f>BREAKDOWN!M708</f>
        <v>13329858</v>
      </c>
      <c r="I86" s="4">
        <f>BREAKDOWN!N708</f>
        <v>15379683</v>
      </c>
    </row>
    <row r="87" spans="1:9" s="9" customFormat="1" ht="30">
      <c r="A87" s="128"/>
      <c r="B87" s="103" t="str">
        <f>BREAKDOWN!B709</f>
        <v>STATE INDEPENDENT ELECTORAL COMMISSION -TOTAL</v>
      </c>
      <c r="C87" s="5"/>
      <c r="D87" s="104">
        <f>SUM(D85:D86)</f>
        <v>112212882</v>
      </c>
      <c r="E87" s="114">
        <f>SUM(E85:E86)</f>
        <v>79612473.640000001</v>
      </c>
      <c r="F87" s="490">
        <f t="shared" ref="F87:G87" si="26">SUM(F85:F86)</f>
        <v>825819.21600000001</v>
      </c>
      <c r="G87" s="468">
        <f t="shared" si="26"/>
        <v>78786654.423999995</v>
      </c>
      <c r="H87" s="113">
        <f>SUM(H85:H86)</f>
        <v>80163827.004000008</v>
      </c>
      <c r="I87" s="113">
        <f>SUM(I85:I86)</f>
        <v>88897048.904400006</v>
      </c>
    </row>
    <row r="88" spans="1:9" ht="30">
      <c r="A88" s="127" t="str">
        <f>BREAKDOWN!A711</f>
        <v>016100100100</v>
      </c>
      <c r="B88" s="121" t="str">
        <f>BREAKDOWN!B711</f>
        <v>OFFICE OF THE AUDITOR-GENERAL (LOCAL GOVERNMENTS)</v>
      </c>
      <c r="C88" s="3" t="str">
        <f>BREAKDOWN!C721</f>
        <v>Personnel Cost -Total</v>
      </c>
      <c r="D88" s="124">
        <v>97259328</v>
      </c>
      <c r="E88" s="28">
        <f>BREAKDOWN!J721</f>
        <v>99805620</v>
      </c>
      <c r="F88" s="488">
        <f>BREAKDOWN!K721</f>
        <v>0</v>
      </c>
      <c r="G88" s="469">
        <f>BREAKDOWN!L721</f>
        <v>99805620</v>
      </c>
      <c r="H88" s="4">
        <f>BREAKDOWN!M721</f>
        <v>104795902</v>
      </c>
      <c r="I88" s="4">
        <f>BREAKDOWN!N721</f>
        <v>110035699</v>
      </c>
    </row>
    <row r="89" spans="1:9">
      <c r="A89" s="127"/>
      <c r="B89" s="121"/>
      <c r="C89" s="3" t="str">
        <f>BREAKDOWN!C736</f>
        <v>Overhead Cost -Total</v>
      </c>
      <c r="D89" s="124">
        <v>31058000</v>
      </c>
      <c r="E89" s="28">
        <f>BREAKDOWN!J736</f>
        <v>30966550</v>
      </c>
      <c r="F89" s="488">
        <f>BREAKDOWN!K736</f>
        <v>1356334.89</v>
      </c>
      <c r="G89" s="469">
        <f>BREAKDOWN!L736</f>
        <v>29610215.109999999</v>
      </c>
      <c r="H89" s="4">
        <f>BREAKDOWN!M736</f>
        <v>32951550</v>
      </c>
      <c r="I89" s="4">
        <f>BREAKDOWN!N736</f>
        <v>32951550</v>
      </c>
    </row>
    <row r="90" spans="1:9" s="9" customFormat="1" ht="30">
      <c r="A90" s="128"/>
      <c r="B90" s="103" t="str">
        <f>BREAKDOWN!B737</f>
        <v>OFFICE OF THE AUDITOR-GENERAL (LOCAL GOVERNMENTS) -TOTAL</v>
      </c>
      <c r="C90" s="5"/>
      <c r="D90" s="104">
        <f>SUM(D88:D89)</f>
        <v>128317328</v>
      </c>
      <c r="E90" s="114">
        <f>SUM(E88:E89)</f>
        <v>130772170</v>
      </c>
      <c r="F90" s="490">
        <f t="shared" ref="F90:G90" si="27">SUM(F88:F89)</f>
        <v>1356334.89</v>
      </c>
      <c r="G90" s="468">
        <f t="shared" si="27"/>
        <v>129415835.11</v>
      </c>
      <c r="H90" s="113">
        <f>SUM(H88:H89)</f>
        <v>137747452</v>
      </c>
      <c r="I90" s="113">
        <f>SUM(I88:I89)</f>
        <v>142987249</v>
      </c>
    </row>
    <row r="91" spans="1:9">
      <c r="A91" s="127" t="str">
        <f>BREAKDOWN!A739</f>
        <v>016400100100</v>
      </c>
      <c r="B91" s="121" t="str">
        <f>BREAKDOWN!B739</f>
        <v>LOCAL GOVERNMENT SERVICE COMMISSION</v>
      </c>
      <c r="C91" s="3" t="str">
        <f>BREAKDOWN!C747</f>
        <v>Personnel Cost -Total</v>
      </c>
      <c r="D91" s="124">
        <v>32587856</v>
      </c>
      <c r="E91" s="28">
        <f>BREAKDOWN!J747</f>
        <v>30937034.289999999</v>
      </c>
      <c r="F91" s="488">
        <f>BREAKDOWN!K747</f>
        <v>0</v>
      </c>
      <c r="G91" s="469">
        <f>BREAKDOWN!L747</f>
        <v>30937034.289999999</v>
      </c>
      <c r="H91" s="4">
        <f>BREAKDOWN!M747</f>
        <v>31270048.239999998</v>
      </c>
      <c r="I91" s="4">
        <f>BREAKDOWN!N747</f>
        <v>29333480.419999998</v>
      </c>
    </row>
    <row r="92" spans="1:9">
      <c r="A92" s="127"/>
      <c r="B92" s="121"/>
      <c r="C92" s="3" t="str">
        <f>BREAKDOWN!C761</f>
        <v>Overhead Cost -Total</v>
      </c>
      <c r="D92" s="124">
        <v>1297000</v>
      </c>
      <c r="E92" s="28">
        <f>BREAKDOWN!J761</f>
        <v>2500000</v>
      </c>
      <c r="F92" s="488">
        <f>BREAKDOWN!K761</f>
        <v>109500</v>
      </c>
      <c r="G92" s="469">
        <f>BREAKDOWN!L761</f>
        <v>2390500</v>
      </c>
      <c r="H92" s="4">
        <f>BREAKDOWN!M761</f>
        <v>4538300</v>
      </c>
      <c r="I92" s="4">
        <f>BREAKDOWN!N761</f>
        <v>4538300</v>
      </c>
    </row>
    <row r="93" spans="1:9" s="9" customFormat="1" ht="30">
      <c r="A93" s="128"/>
      <c r="B93" s="103" t="str">
        <f>BREAKDOWN!B762</f>
        <v>LOCAL GOVERNMENT SERVICE COMMISSION- TOTAL</v>
      </c>
      <c r="C93" s="5"/>
      <c r="D93" s="104">
        <f>SUM(D91:D92)</f>
        <v>33884856</v>
      </c>
      <c r="E93" s="114">
        <f>SUM(E91:E92)</f>
        <v>33437034.289999999</v>
      </c>
      <c r="F93" s="490">
        <f t="shared" ref="F93:G93" si="28">SUM(F91:F92)</f>
        <v>109500</v>
      </c>
      <c r="G93" s="468">
        <f t="shared" si="28"/>
        <v>33327534.289999999</v>
      </c>
      <c r="H93" s="113">
        <f>SUM(H91:H92)</f>
        <v>35808348.239999995</v>
      </c>
      <c r="I93" s="113">
        <f>SUM(I91:I92)</f>
        <v>33871780.420000002</v>
      </c>
    </row>
    <row r="94" spans="1:9">
      <c r="A94" s="127" t="str">
        <f>BREAKDOWN!A764</f>
        <v>021500100100</v>
      </c>
      <c r="B94" s="121" t="s">
        <v>134</v>
      </c>
      <c r="C94" s="3" t="str">
        <f>BREAKDOWN!C779</f>
        <v>Personnel Cost -Total</v>
      </c>
      <c r="D94" s="124">
        <v>541699006</v>
      </c>
      <c r="E94" s="28">
        <f>BREAKDOWN!J779</f>
        <v>609130802.13999999</v>
      </c>
      <c r="F94" s="488">
        <f>BREAKDOWN!K779</f>
        <v>0</v>
      </c>
      <c r="G94" s="469">
        <f>BREAKDOWN!L779</f>
        <v>609130802.13999999</v>
      </c>
      <c r="H94" s="4">
        <f>BREAKDOWN!M779</f>
        <v>541699006</v>
      </c>
      <c r="I94" s="4">
        <f>BREAKDOWN!N779</f>
        <v>541699006</v>
      </c>
    </row>
    <row r="95" spans="1:9">
      <c r="A95" s="127"/>
      <c r="B95" s="121"/>
      <c r="C95" s="3" t="str">
        <f>BREAKDOWN!C798</f>
        <v>Overhead Cost- Total</v>
      </c>
      <c r="D95" s="124">
        <v>20434000</v>
      </c>
      <c r="E95" s="28">
        <f>BREAKDOWN!J798</f>
        <v>30327200</v>
      </c>
      <c r="F95" s="488">
        <f>BREAKDOWN!K798</f>
        <v>1328331.3599999999</v>
      </c>
      <c r="G95" s="469">
        <f>BREAKDOWN!L798</f>
        <v>28998868.640000001</v>
      </c>
      <c r="H95" s="4">
        <f>BREAKDOWN!M798</f>
        <v>98402500</v>
      </c>
      <c r="I95" s="4">
        <f>BREAKDOWN!N798</f>
        <v>100927300</v>
      </c>
    </row>
    <row r="96" spans="1:9" s="9" customFormat="1">
      <c r="A96" s="128"/>
      <c r="B96" s="103" t="str">
        <f>BREAKDOWN!B799</f>
        <v>MINISTRY OF AGRICULTURE AND FORESTRY- TOTAL</v>
      </c>
      <c r="C96" s="5"/>
      <c r="D96" s="104">
        <f>SUM(D94:D95)</f>
        <v>562133006</v>
      </c>
      <c r="E96" s="114">
        <f>SUM(E94:E95)</f>
        <v>639458002.13999999</v>
      </c>
      <c r="F96" s="490">
        <f t="shared" ref="F96:G96" si="29">SUM(F94:F95)</f>
        <v>1328331.3599999999</v>
      </c>
      <c r="G96" s="468">
        <f t="shared" si="29"/>
        <v>638129670.77999997</v>
      </c>
      <c r="H96" s="113">
        <f>SUM(H94:H95)</f>
        <v>640101506</v>
      </c>
      <c r="I96" s="113">
        <f>SUM(I94:I95)</f>
        <v>642626306</v>
      </c>
    </row>
    <row r="97" spans="1:9" ht="30">
      <c r="A97" s="127" t="str">
        <f>BREAKDOWN!A801</f>
        <v>021510200100</v>
      </c>
      <c r="B97" s="121" t="str">
        <f>BREAKDOWN!B801</f>
        <v>KADUNA STATE AGRICULTURAL DEVELOPMENT PROJECT</v>
      </c>
      <c r="C97" s="3" t="str">
        <f>BREAKDOWN!C802</f>
        <v>Personnel Cost- Total</v>
      </c>
      <c r="D97" s="124">
        <v>296456762</v>
      </c>
      <c r="E97" s="28">
        <f>BREAKDOWN!J802</f>
        <v>292666910.31</v>
      </c>
      <c r="F97" s="488">
        <f>BREAKDOWN!K802</f>
        <v>0</v>
      </c>
      <c r="G97" s="469">
        <f>BREAKDOWN!L802</f>
        <v>292666910.31</v>
      </c>
      <c r="H97" s="4">
        <f>BREAKDOWN!M802</f>
        <v>321933601.34100002</v>
      </c>
      <c r="I97" s="4">
        <f>BREAKDOWN!N802</f>
        <v>354126961.47510004</v>
      </c>
    </row>
    <row r="98" spans="1:9">
      <c r="A98" s="127"/>
      <c r="B98" s="121"/>
      <c r="C98" s="3" t="str">
        <f>BREAKDOWN!C814</f>
        <v>Overhead Cost -Total</v>
      </c>
      <c r="D98" s="124">
        <v>6576000</v>
      </c>
      <c r="E98" s="28">
        <f>BREAKDOWN!J814</f>
        <v>2591999.9996000002</v>
      </c>
      <c r="F98" s="488">
        <f>BREAKDOWN!K814</f>
        <v>113529.59998248001</v>
      </c>
      <c r="G98" s="469">
        <f>BREAKDOWN!L814</f>
        <v>2478470.3996175197</v>
      </c>
      <c r="H98" s="4">
        <f>BREAKDOWN!M814</f>
        <v>6575999.9995999997</v>
      </c>
      <c r="I98" s="4">
        <f>BREAKDOWN!N814</f>
        <v>6575999.9995999997</v>
      </c>
    </row>
    <row r="99" spans="1:9" s="9" customFormat="1" ht="30">
      <c r="A99" s="128"/>
      <c r="B99" s="103" t="str">
        <f>BREAKDOWN!B815</f>
        <v>KADUNA STATE AGRICULTURAL DEVELOPMENT PROJECT -TOTAL</v>
      </c>
      <c r="C99" s="5"/>
      <c r="D99" s="104">
        <f>SUM(D97:D98)</f>
        <v>303032762</v>
      </c>
      <c r="E99" s="114">
        <f>SUM(E97:E98)</f>
        <v>295258910.3096</v>
      </c>
      <c r="F99" s="490">
        <f t="shared" ref="F99:G99" si="30">SUM(F97:F98)</f>
        <v>113529.59998248001</v>
      </c>
      <c r="G99" s="468">
        <f t="shared" si="30"/>
        <v>295145380.7096175</v>
      </c>
      <c r="H99" s="113">
        <f>SUM(H97:H98)</f>
        <v>328509601.34060001</v>
      </c>
      <c r="I99" s="113">
        <f>SUM(I97:I98)</f>
        <v>360702961.47470003</v>
      </c>
    </row>
    <row r="100" spans="1:9">
      <c r="A100" s="127" t="str">
        <f>BREAKDOWN!A817</f>
        <v>021510900100</v>
      </c>
      <c r="B100" s="121" t="str">
        <f>BREAKDOWN!B817</f>
        <v>KADUNA STATE FOREST MANAGEMENT PROJECT</v>
      </c>
      <c r="C100" s="3" t="str">
        <f>BREAKDOWN!C818</f>
        <v>Personnel Cost -Total</v>
      </c>
      <c r="D100" s="124">
        <v>45505995</v>
      </c>
      <c r="E100" s="28">
        <f>BREAKDOWN!J818</f>
        <v>55300248.68</v>
      </c>
      <c r="F100" s="488">
        <f>BREAKDOWN!K818</f>
        <v>0</v>
      </c>
      <c r="G100" s="469">
        <f>BREAKDOWN!L818</f>
        <v>55300248.68</v>
      </c>
      <c r="H100" s="4">
        <f>BREAKDOWN!M818</f>
        <v>60830273.548</v>
      </c>
      <c r="I100" s="4">
        <f>BREAKDOWN!N818</f>
        <v>66913300.902800001</v>
      </c>
    </row>
    <row r="101" spans="1:9">
      <c r="A101" s="127"/>
      <c r="B101" s="121"/>
      <c r="C101" s="3" t="str">
        <f>BREAKDOWN!C826</f>
        <v>Overhead Cost -Total</v>
      </c>
      <c r="D101" s="124">
        <v>6051000</v>
      </c>
      <c r="E101" s="28">
        <f>BREAKDOWN!J826</f>
        <v>6082750</v>
      </c>
      <c r="F101" s="488">
        <f>BREAKDOWN!K826</f>
        <v>266424.45</v>
      </c>
      <c r="G101" s="469">
        <f>BREAKDOWN!L826</f>
        <v>5816325.5499999998</v>
      </c>
      <c r="H101" s="4">
        <f>BREAKDOWN!M826</f>
        <v>5532750</v>
      </c>
      <c r="I101" s="4">
        <f>BREAKDOWN!N826</f>
        <v>5532750</v>
      </c>
    </row>
    <row r="102" spans="1:9" s="9" customFormat="1" ht="30">
      <c r="A102" s="128"/>
      <c r="B102" s="103" t="str">
        <f>BREAKDOWN!B827</f>
        <v>KADUNA STATE FOREST MANAGEMENT PROJECT- TOTAL</v>
      </c>
      <c r="C102" s="5"/>
      <c r="D102" s="104">
        <f>SUM(D100:D101)</f>
        <v>51556995</v>
      </c>
      <c r="E102" s="114">
        <f>SUM(E100:E101)</f>
        <v>61382998.68</v>
      </c>
      <c r="F102" s="490">
        <f t="shared" ref="F102:G102" si="31">SUM(F100:F101)</f>
        <v>266424.45</v>
      </c>
      <c r="G102" s="468">
        <f t="shared" si="31"/>
        <v>61116574.229999997</v>
      </c>
      <c r="H102" s="113">
        <f>SUM(H100:H101)</f>
        <v>66363023.548</v>
      </c>
      <c r="I102" s="113">
        <f>SUM(I100:I101)</f>
        <v>72446050.902799994</v>
      </c>
    </row>
    <row r="103" spans="1:9">
      <c r="A103" s="127" t="str">
        <f>BREAKDOWN!A829</f>
        <v>022000100100</v>
      </c>
      <c r="B103" s="121" t="str">
        <f>BREAKDOWN!B829</f>
        <v>MINISTRY OF FINANCE KADUNA STATE</v>
      </c>
      <c r="C103" s="3" t="str">
        <f>BREAKDOWN!C830</f>
        <v>Personnel Cost -Total</v>
      </c>
      <c r="D103" s="124">
        <v>314741668</v>
      </c>
      <c r="E103" s="28">
        <f>BREAKDOWN!J830</f>
        <v>303995224.24800009</v>
      </c>
      <c r="F103" s="488">
        <f>BREAKDOWN!K830</f>
        <v>0</v>
      </c>
      <c r="G103" s="469">
        <f>BREAKDOWN!L830</f>
        <v>303995224.24800009</v>
      </c>
      <c r="H103" s="4">
        <f>BREAKDOWN!M830</f>
        <v>334394746.67280006</v>
      </c>
      <c r="I103" s="4">
        <f>BREAKDOWN!N830</f>
        <v>367834221.34008008</v>
      </c>
    </row>
    <row r="104" spans="1:9">
      <c r="A104" s="127"/>
      <c r="B104" s="121"/>
      <c r="C104" s="3" t="str">
        <f>BREAKDOWN!C854</f>
        <v>Overhead Cost- Total</v>
      </c>
      <c r="D104" s="124">
        <v>1063273000</v>
      </c>
      <c r="E104" s="28">
        <f>BREAKDOWN!J854</f>
        <v>1093702400</v>
      </c>
      <c r="F104" s="488">
        <f>BREAKDOWN!K854</f>
        <v>47904165.119999997</v>
      </c>
      <c r="G104" s="469">
        <f>BREAKDOWN!L854</f>
        <v>1045798234.88</v>
      </c>
      <c r="H104" s="4">
        <f>BREAKDOWN!M854</f>
        <v>1556555118.4549999</v>
      </c>
      <c r="I104" s="4">
        <f>BREAKDOWN!N854</f>
        <v>1666555118.4549999</v>
      </c>
    </row>
    <row r="105" spans="1:9" s="9" customFormat="1">
      <c r="A105" s="128"/>
      <c r="B105" s="103" t="str">
        <f>BREAKDOWN!B855</f>
        <v>MINISTRY OF FINANCE KADUNA STATE -TOTAL</v>
      </c>
      <c r="C105" s="5"/>
      <c r="D105" s="104">
        <f>SUM(D103:D104)</f>
        <v>1378014668</v>
      </c>
      <c r="E105" s="114">
        <f>SUM(E103:E104)</f>
        <v>1397697624.2480001</v>
      </c>
      <c r="F105" s="490">
        <f t="shared" ref="F105:G105" si="32">SUM(F103:F104)</f>
        <v>47904165.119999997</v>
      </c>
      <c r="G105" s="468">
        <f t="shared" si="32"/>
        <v>1349793459.128</v>
      </c>
      <c r="H105" s="113">
        <f>SUM(H103:H104)</f>
        <v>1890949865.1278</v>
      </c>
      <c r="I105" s="113">
        <f>SUM(I103:I104)</f>
        <v>2034389339.7950799</v>
      </c>
    </row>
    <row r="106" spans="1:9" ht="30">
      <c r="A106" s="127" t="str">
        <f>BREAKDOWN!A857</f>
        <v>022000700100</v>
      </c>
      <c r="B106" s="121" t="str">
        <f>BREAKDOWN!B857</f>
        <v>OFFICE OF THE ACCOUNTANT GENERAL (CENTRALIZED HEADS)</v>
      </c>
      <c r="C106" s="3" t="str">
        <f>BREAKDOWN!C872</f>
        <v>Personnel Cost -Total</v>
      </c>
      <c r="D106" s="124">
        <v>579367538</v>
      </c>
      <c r="E106" s="28">
        <f>BREAKDOWN!J872</f>
        <v>1299367538</v>
      </c>
      <c r="F106" s="488">
        <f>BREAKDOWN!K872</f>
        <v>0</v>
      </c>
      <c r="G106" s="469">
        <f>BREAKDOWN!L872</f>
        <v>1299367538</v>
      </c>
      <c r="H106" s="4">
        <f>BREAKDOWN!M872</f>
        <v>604304291.79999995</v>
      </c>
      <c r="I106" s="4">
        <f>BREAKDOWN!N872</f>
        <v>664734720.9799999</v>
      </c>
    </row>
    <row r="107" spans="1:9">
      <c r="A107" s="127"/>
      <c r="B107" s="121"/>
      <c r="C107" s="3" t="str">
        <f>BREAKDOWN!C916</f>
        <v>Overhead Cost -Total</v>
      </c>
      <c r="D107" s="124">
        <v>16982235000</v>
      </c>
      <c r="E107" s="28">
        <f>BREAKDOWN!J916</f>
        <v>27033908421.239998</v>
      </c>
      <c r="F107" s="488">
        <f>BREAKDOWN!K916</f>
        <v>1184085188.8503118</v>
      </c>
      <c r="G107" s="469">
        <f>BREAKDOWN!L916</f>
        <v>25849823232.389694</v>
      </c>
      <c r="H107" s="4">
        <f>BREAKDOWN!M916</f>
        <v>14514560821.240002</v>
      </c>
      <c r="I107" s="4">
        <f>BREAKDOWN!N916</f>
        <v>14525560821.240002</v>
      </c>
    </row>
    <row r="108" spans="1:9" s="9" customFormat="1" ht="30">
      <c r="A108" s="128"/>
      <c r="B108" s="103" t="str">
        <f>BREAKDOWN!B917</f>
        <v>OFFICE OF THE ACCOUNTANT GENERAL (CENTRALIZED HEADS)- TOTAL</v>
      </c>
      <c r="C108" s="5"/>
      <c r="D108" s="104">
        <f>SUM(D106:D107)</f>
        <v>17561602538</v>
      </c>
      <c r="E108" s="114">
        <f>SUM(E106:E107)</f>
        <v>28333275959.239998</v>
      </c>
      <c r="F108" s="490">
        <f t="shared" ref="F108:G108" si="33">SUM(F106:F107)</f>
        <v>1184085188.8503118</v>
      </c>
      <c r="G108" s="468">
        <f t="shared" si="33"/>
        <v>27149190770.389694</v>
      </c>
      <c r="H108" s="113">
        <f>SUM(H106:H107)</f>
        <v>15118865113.040001</v>
      </c>
      <c r="I108" s="113">
        <f>SUM(I106:I107)</f>
        <v>15190295542.220001</v>
      </c>
    </row>
    <row r="109" spans="1:9">
      <c r="A109" s="127" t="str">
        <f>BREAKDOWN!A919</f>
        <v>022000800100</v>
      </c>
      <c r="B109" s="121" t="str">
        <f>BREAKDOWN!B919</f>
        <v>KADUNA STATE INTERNAL REVENUE SERVICE</v>
      </c>
      <c r="C109" s="3" t="str">
        <f>BREAKDOWN!C920</f>
        <v>Personnel Cost -Total</v>
      </c>
      <c r="D109" s="124">
        <v>730553189</v>
      </c>
      <c r="E109" s="28">
        <f>BREAKDOWN!J920</f>
        <v>627085474.23833323</v>
      </c>
      <c r="F109" s="488">
        <f>BREAKDOWN!K920</f>
        <v>0</v>
      </c>
      <c r="G109" s="469">
        <f>BREAKDOWN!L920</f>
        <v>627085474.23833323</v>
      </c>
      <c r="H109" s="4">
        <f>BREAKDOWN!M920</f>
        <v>689794021.6621666</v>
      </c>
      <c r="I109" s="4">
        <f>BREAKDOWN!N920</f>
        <v>758773423.82838321</v>
      </c>
    </row>
    <row r="110" spans="1:9">
      <c r="A110" s="127"/>
      <c r="B110" s="121"/>
      <c r="C110" s="3" t="str">
        <f>BREAKDOWN!C947</f>
        <v>Overhead Cost -Total</v>
      </c>
      <c r="D110" s="124">
        <v>124977500</v>
      </c>
      <c r="E110" s="28">
        <f>BREAKDOWN!J947</f>
        <v>299841900</v>
      </c>
      <c r="F110" s="488">
        <f>BREAKDOWN!K947</f>
        <v>13133075.219999999</v>
      </c>
      <c r="G110" s="469">
        <f>BREAKDOWN!L947</f>
        <v>286708824.77999997</v>
      </c>
      <c r="H110" s="4">
        <f>BREAKDOWN!M947</f>
        <v>539777290</v>
      </c>
      <c r="I110" s="4">
        <f>BREAKDOWN!N947</f>
        <v>543822419</v>
      </c>
    </row>
    <row r="111" spans="1:9" s="9" customFormat="1" ht="30">
      <c r="A111" s="128"/>
      <c r="B111" s="103" t="str">
        <f>BREAKDOWN!B948</f>
        <v>KADUNA STATE INTERNAL REVENUE SERVICE -TOTAL</v>
      </c>
      <c r="C111" s="5"/>
      <c r="D111" s="104">
        <f>SUM(D109:D110)</f>
        <v>855530689</v>
      </c>
      <c r="E111" s="114">
        <f>SUM(E109:E110)</f>
        <v>926927374.23833323</v>
      </c>
      <c r="F111" s="490">
        <f t="shared" ref="F111:G111" si="34">SUM(F109:F110)</f>
        <v>13133075.219999999</v>
      </c>
      <c r="G111" s="468">
        <f t="shared" si="34"/>
        <v>913794299.0183332</v>
      </c>
      <c r="H111" s="113">
        <f>SUM(H109:H110)</f>
        <v>1229571311.6621666</v>
      </c>
      <c r="I111" s="113">
        <f>SUM(I109:I110)</f>
        <v>1302595842.8283832</v>
      </c>
    </row>
    <row r="112" spans="1:9" s="38" customFormat="1">
      <c r="A112" s="129">
        <v>220009001</v>
      </c>
      <c r="B112" s="105" t="s">
        <v>149</v>
      </c>
      <c r="C112" s="75" t="s">
        <v>711</v>
      </c>
      <c r="D112" s="107">
        <v>8865500</v>
      </c>
      <c r="E112" s="297">
        <v>0</v>
      </c>
      <c r="F112" s="491">
        <v>0</v>
      </c>
      <c r="G112" s="467">
        <v>0</v>
      </c>
      <c r="H112" s="297">
        <v>0</v>
      </c>
      <c r="I112" s="297">
        <v>0</v>
      </c>
    </row>
    <row r="113" spans="1:9" s="9" customFormat="1">
      <c r="A113" s="128"/>
      <c r="B113" s="103" t="s">
        <v>715</v>
      </c>
      <c r="C113" s="5"/>
      <c r="D113" s="104">
        <f>SUM(D112)</f>
        <v>8865500</v>
      </c>
      <c r="E113" s="114">
        <v>0</v>
      </c>
      <c r="F113" s="490">
        <v>0</v>
      </c>
      <c r="G113" s="468">
        <v>0</v>
      </c>
      <c r="H113" s="114">
        <v>0</v>
      </c>
      <c r="I113" s="114">
        <v>0</v>
      </c>
    </row>
    <row r="114" spans="1:9">
      <c r="A114" s="127" t="str">
        <f>BREAKDOWN!A950</f>
        <v>022200100100</v>
      </c>
      <c r="B114" s="121" t="str">
        <f>BREAKDOWN!B950</f>
        <v>MINISTRY OF COMMERCE,  INDUSTRY AND TOURISM</v>
      </c>
      <c r="C114" s="3" t="str">
        <f>BREAKDOWN!C951</f>
        <v>Personnel Cost- Total</v>
      </c>
      <c r="D114" s="124">
        <v>194058435</v>
      </c>
      <c r="E114" s="28">
        <f>BREAKDOWN!J951</f>
        <v>178936986.90000001</v>
      </c>
      <c r="F114" s="488">
        <f>BREAKDOWN!K951</f>
        <v>0</v>
      </c>
      <c r="G114" s="469">
        <f>BREAKDOWN!L951</f>
        <v>178936986.90000001</v>
      </c>
      <c r="H114" s="4">
        <f>BREAKDOWN!M951</f>
        <v>196830685.59</v>
      </c>
      <c r="I114" s="4">
        <f>BREAKDOWN!N951</f>
        <v>216513754.14899999</v>
      </c>
    </row>
    <row r="115" spans="1:9">
      <c r="A115" s="127"/>
      <c r="B115" s="121"/>
      <c r="C115" s="3" t="str">
        <f>BREAKDOWN!C969</f>
        <v>Overhead Cost -Total</v>
      </c>
      <c r="D115" s="124">
        <v>39514000</v>
      </c>
      <c r="E115" s="28">
        <f>BREAKDOWN!J969</f>
        <v>101702928</v>
      </c>
      <c r="F115" s="488">
        <f>BREAKDOWN!K969</f>
        <v>4454588.2463999996</v>
      </c>
      <c r="G115" s="469">
        <f>BREAKDOWN!L969</f>
        <v>97248339.753600001</v>
      </c>
      <c r="H115" s="4">
        <f>BREAKDOWN!M969</f>
        <v>69720279</v>
      </c>
      <c r="I115" s="4">
        <f>BREAKDOWN!N969</f>
        <v>71040279</v>
      </c>
    </row>
    <row r="116" spans="1:9" s="9" customFormat="1" ht="30">
      <c r="A116" s="128"/>
      <c r="B116" s="103" t="str">
        <f>BREAKDOWN!B970</f>
        <v>MINISTRY OF COMMERCE,  INDUSTRY AND TOURISM -TOTAL</v>
      </c>
      <c r="C116" s="5"/>
      <c r="D116" s="104">
        <f>SUM(D114:D115)</f>
        <v>233572435</v>
      </c>
      <c r="E116" s="114">
        <f>SUM(E114:E115)</f>
        <v>280639914.89999998</v>
      </c>
      <c r="F116" s="490">
        <f t="shared" ref="F116:G116" si="35">SUM(F114:F115)</f>
        <v>4454588.2463999996</v>
      </c>
      <c r="G116" s="468">
        <f t="shared" si="35"/>
        <v>276185326.65359998</v>
      </c>
      <c r="H116" s="113">
        <f>SUM(H112:H115)</f>
        <v>266550964.59</v>
      </c>
      <c r="I116" s="113">
        <f>SUM(I112:I115)</f>
        <v>287554033.14899999</v>
      </c>
    </row>
    <row r="117" spans="1:9">
      <c r="A117" s="127" t="str">
        <f>BREAKDOWN!A972</f>
        <v>023400100100</v>
      </c>
      <c r="B117" s="121" t="str">
        <f>BREAKDOWN!B972</f>
        <v>MINISTRY OF WORKS HOUSING AND TRANSPORT</v>
      </c>
      <c r="C117" s="3" t="str">
        <f>BREAKDOWN!C980</f>
        <v>Personnel Cost -Total</v>
      </c>
      <c r="D117" s="124">
        <v>287735110</v>
      </c>
      <c r="E117" s="28">
        <f>BREAKDOWN!J980</f>
        <v>272939989.39999998</v>
      </c>
      <c r="F117" s="488">
        <f>BREAKDOWN!K980</f>
        <v>0</v>
      </c>
      <c r="G117" s="469">
        <f>BREAKDOWN!L980</f>
        <v>272939989.39999998</v>
      </c>
      <c r="H117" s="4">
        <f>BREAKDOWN!M980</f>
        <v>464966407.58999997</v>
      </c>
      <c r="I117" s="4">
        <f>BREAKDOWN!N980</f>
        <v>466127842.98999995</v>
      </c>
    </row>
    <row r="118" spans="1:9">
      <c r="A118" s="127"/>
      <c r="B118" s="121"/>
      <c r="C118" s="3" t="str">
        <f>BREAKDOWN!C1005</f>
        <v>Overhead Cost -Total</v>
      </c>
      <c r="D118" s="124">
        <v>120401000</v>
      </c>
      <c r="E118" s="28">
        <f>BREAKDOWN!J1005</f>
        <v>168875500</v>
      </c>
      <c r="F118" s="488">
        <f>BREAKDOWN!K1005</f>
        <v>7396746.8999999994</v>
      </c>
      <c r="G118" s="469">
        <f>BREAKDOWN!L1005</f>
        <v>161478753.10000002</v>
      </c>
      <c r="H118" s="4">
        <f>BREAKDOWN!M1005</f>
        <v>269713100</v>
      </c>
      <c r="I118" s="4">
        <f>BREAKDOWN!N1005</f>
        <v>256022400</v>
      </c>
    </row>
    <row r="119" spans="1:9" s="9" customFormat="1" ht="30">
      <c r="A119" s="128"/>
      <c r="B119" s="103" t="str">
        <f>BREAKDOWN!B1006</f>
        <v>MINISTRY OF WORKS HOUSING AND TRANSPORT- TOTAL</v>
      </c>
      <c r="C119" s="5"/>
      <c r="D119" s="104">
        <f>SUM(D117:D118)</f>
        <v>408136110</v>
      </c>
      <c r="E119" s="114">
        <f>SUM(E117:E118)</f>
        <v>441815489.39999998</v>
      </c>
      <c r="F119" s="490">
        <f t="shared" ref="F119:G119" si="36">SUM(F117:F118)</f>
        <v>7396746.8999999994</v>
      </c>
      <c r="G119" s="468">
        <f t="shared" si="36"/>
        <v>434418742.5</v>
      </c>
      <c r="H119" s="113">
        <f>SUM(H117:H118)</f>
        <v>734679507.58999991</v>
      </c>
      <c r="I119" s="113">
        <f>SUM(I117:I118)</f>
        <v>722150242.99000001</v>
      </c>
    </row>
    <row r="120" spans="1:9">
      <c r="A120" s="127" t="str">
        <f>BREAKDOWN!A1008</f>
        <v>023405400100</v>
      </c>
      <c r="B120" s="121" t="str">
        <f>BREAKDOWN!B1008</f>
        <v xml:space="preserve">KADUNA STATE PUBLIC WORKS AGENCY </v>
      </c>
      <c r="C120" s="3" t="str">
        <f>BREAKDOWN!C1016</f>
        <v>Personnel Cost -Total</v>
      </c>
      <c r="D120" s="124">
        <v>45101082</v>
      </c>
      <c r="E120" s="297">
        <f>BREAKDOWN!J1016</f>
        <v>45253398.669999994</v>
      </c>
      <c r="F120" s="491">
        <f>BREAKDOWN!K1016</f>
        <v>0</v>
      </c>
      <c r="G120" s="467">
        <f>BREAKDOWN!L1016</f>
        <v>45253398.669999994</v>
      </c>
      <c r="H120" s="4">
        <f>BREAKDOWN!M1016</f>
        <v>49778738.537</v>
      </c>
      <c r="I120" s="4">
        <f>BREAKDOWN!N1016</f>
        <v>54756612.390700005</v>
      </c>
    </row>
    <row r="121" spans="1:9">
      <c r="A121" s="127"/>
      <c r="B121" s="121"/>
      <c r="C121" s="3" t="str">
        <f>BREAKDOWN!C1031</f>
        <v>Overhead Cost- Total</v>
      </c>
      <c r="D121" s="124">
        <v>10189000</v>
      </c>
      <c r="E121" s="297">
        <f>BREAKDOWN!J1031</f>
        <v>11737200</v>
      </c>
      <c r="F121" s="491">
        <f>BREAKDOWN!K1031</f>
        <v>514089.36</v>
      </c>
      <c r="G121" s="467">
        <f>BREAKDOWN!L1031</f>
        <v>11223110.640000001</v>
      </c>
      <c r="H121" s="4">
        <f>BREAKDOWN!M1031</f>
        <v>13660600</v>
      </c>
      <c r="I121" s="4">
        <f>BREAKDOWN!N1031</f>
        <v>13660600</v>
      </c>
    </row>
    <row r="122" spans="1:9" s="9" customFormat="1">
      <c r="A122" s="128"/>
      <c r="B122" s="103" t="str">
        <f>BREAKDOWN!B1032</f>
        <v>KADUNA STATE PUBLIC WORKS AGENCY- TOTAL</v>
      </c>
      <c r="C122" s="5"/>
      <c r="D122" s="104">
        <f>SUM(D120:D121)</f>
        <v>55290082</v>
      </c>
      <c r="E122" s="114">
        <f>SUM(E120:E121)</f>
        <v>56990598.669999994</v>
      </c>
      <c r="F122" s="490">
        <f t="shared" ref="F122:G122" si="37">SUM(F120:F121)</f>
        <v>514089.36</v>
      </c>
      <c r="G122" s="468">
        <f t="shared" si="37"/>
        <v>56476509.309999995</v>
      </c>
      <c r="H122" s="113">
        <f>SUM(H120:H121)</f>
        <v>63439338.537</v>
      </c>
      <c r="I122" s="113">
        <f>SUM(I120:I121)</f>
        <v>68417212.390700012</v>
      </c>
    </row>
    <row r="123" spans="1:9" ht="30">
      <c r="A123" s="127" t="str">
        <f>BREAKDOWN!A1034</f>
        <v>023405400200</v>
      </c>
      <c r="B123" s="121" t="str">
        <f>BREAKDOWN!B1034</f>
        <v>KADUNA STATE TRAFFIC AND ENVIRONMENTAL LAW ENFORCEMENT AGENCY</v>
      </c>
      <c r="C123" s="3" t="str">
        <f>BREAKDOWN!C1035</f>
        <v>Personnel Cost- Total</v>
      </c>
      <c r="D123" s="124">
        <v>12635795</v>
      </c>
      <c r="E123" s="28">
        <f>BREAKDOWN!J1035</f>
        <v>884270832</v>
      </c>
      <c r="F123" s="488">
        <f>BREAKDOWN!K1035</f>
        <v>0</v>
      </c>
      <c r="G123" s="469">
        <f>BREAKDOWN!L1035</f>
        <v>884270832</v>
      </c>
      <c r="H123" s="4">
        <f>BREAKDOWN!M1035</f>
        <v>972697915.20000005</v>
      </c>
      <c r="I123" s="4">
        <f>BREAKDOWN!N1035</f>
        <v>1069967706.72</v>
      </c>
    </row>
    <row r="124" spans="1:9">
      <c r="A124" s="127"/>
      <c r="B124" s="121"/>
      <c r="C124" s="3" t="str">
        <f>BREAKDOWN!C1048</f>
        <v>Overhead Cost -Total</v>
      </c>
      <c r="D124" s="124">
        <v>22919000</v>
      </c>
      <c r="E124" s="28">
        <f>BREAKDOWN!J1048</f>
        <v>148393500</v>
      </c>
      <c r="F124" s="488">
        <f>BREAKDOWN!K1048</f>
        <v>6499635.2999999998</v>
      </c>
      <c r="G124" s="469">
        <f>BREAKDOWN!L1048</f>
        <v>141893864.69999999</v>
      </c>
      <c r="H124" s="4">
        <f>BREAKDOWN!M1048</f>
        <v>241827100</v>
      </c>
      <c r="I124" s="4">
        <f>BREAKDOWN!N1048</f>
        <v>241439690</v>
      </c>
    </row>
    <row r="125" spans="1:9" s="9" customFormat="1" ht="30">
      <c r="A125" s="128"/>
      <c r="B125" s="103" t="str">
        <f>BREAKDOWN!B1049</f>
        <v>KADUNA STATE TRAFFIC AND ENVIRONMENTAL LAW ENFORCEMENT AGENCY -TOTAL</v>
      </c>
      <c r="C125" s="5"/>
      <c r="D125" s="104">
        <f>SUM(D123:D124)</f>
        <v>35554795</v>
      </c>
      <c r="E125" s="114">
        <f>SUM(E123:E124)</f>
        <v>1032664332</v>
      </c>
      <c r="F125" s="490">
        <f t="shared" ref="F125:G125" si="38">SUM(F123:F124)</f>
        <v>6499635.2999999998</v>
      </c>
      <c r="G125" s="468">
        <f t="shared" si="38"/>
        <v>1026164696.7</v>
      </c>
      <c r="H125" s="113">
        <f>SUM(H123:H124)</f>
        <v>1214525015.2</v>
      </c>
      <c r="I125" s="113">
        <f>SUM(I123:I124)</f>
        <v>1311407396.72</v>
      </c>
    </row>
    <row r="126" spans="1:9">
      <c r="A126" s="127" t="str">
        <f>BREAKDOWN!A1051</f>
        <v>023405400300</v>
      </c>
      <c r="B126" s="121" t="str">
        <f>BREAKDOWN!B1051</f>
        <v>KADUNA STATE FACILITIY MANAGEMENT AGENCY</v>
      </c>
      <c r="C126" s="3" t="str">
        <f>BREAKDOWN!C1059</f>
        <v>Personnel Cost- Total</v>
      </c>
      <c r="D126" s="124">
        <v>0</v>
      </c>
      <c r="E126" s="28">
        <f>BREAKDOWN!J1059</f>
        <v>32962267.560000002</v>
      </c>
      <c r="F126" s="488">
        <f>BREAKDOWN!K1059</f>
        <v>0</v>
      </c>
      <c r="G126" s="469">
        <f>BREAKDOWN!L1059</f>
        <v>32962267.560000002</v>
      </c>
      <c r="H126" s="4">
        <f>BREAKDOWN!M1059</f>
        <v>36258494.316</v>
      </c>
      <c r="I126" s="4">
        <f>BREAKDOWN!N1059</f>
        <v>39884343.747600004</v>
      </c>
    </row>
    <row r="127" spans="1:9">
      <c r="A127" s="127"/>
      <c r="B127" s="121"/>
      <c r="C127" s="3" t="str">
        <f>BREAKDOWN!C1075</f>
        <v>Overhead Cost -Total</v>
      </c>
      <c r="D127" s="124">
        <v>0</v>
      </c>
      <c r="E127" s="28">
        <f>BREAKDOWN!J1075</f>
        <v>159051600</v>
      </c>
      <c r="F127" s="488">
        <f>BREAKDOWN!K1075</f>
        <v>6966460.0800000001</v>
      </c>
      <c r="G127" s="469">
        <f>BREAKDOWN!L1075</f>
        <v>152085139.91999999</v>
      </c>
      <c r="H127" s="4">
        <f>BREAKDOWN!M1075</f>
        <v>1061543700</v>
      </c>
      <c r="I127" s="4">
        <f>BREAKDOWN!N1075</f>
        <v>1061543700</v>
      </c>
    </row>
    <row r="128" spans="1:9" s="9" customFormat="1" ht="30">
      <c r="A128" s="128"/>
      <c r="B128" s="103" t="str">
        <f>BREAKDOWN!B1076</f>
        <v>KADUNA STATE FACILITY MANAGEMENT AGENCY- TOTAL</v>
      </c>
      <c r="C128" s="5"/>
      <c r="D128" s="104"/>
      <c r="E128" s="114">
        <f>SUM(E126:E127)</f>
        <v>192013867.56</v>
      </c>
      <c r="F128" s="490">
        <f t="shared" ref="F128:G128" si="39">SUM(F126:F127)</f>
        <v>6966460.0800000001</v>
      </c>
      <c r="G128" s="468">
        <f t="shared" si="39"/>
        <v>185047407.47999999</v>
      </c>
      <c r="H128" s="113">
        <f>SUM(H126:H127)</f>
        <v>1097802194.316</v>
      </c>
      <c r="I128" s="113">
        <f>SUM(I126:I127)</f>
        <v>1101428043.7476001</v>
      </c>
    </row>
    <row r="129" spans="1:9" ht="30">
      <c r="A129" s="127" t="str">
        <f>BREAKDOWN!A1078</f>
        <v>023500100100</v>
      </c>
      <c r="B129" s="121" t="str">
        <f>BREAKDOWN!B1078</f>
        <v>MINISTRY OF ENVIRONMENT AND NATURAL RESOURCES</v>
      </c>
      <c r="C129" s="3" t="str">
        <f>BREAKDOWN!C1079</f>
        <v>Personnel Cost -Total</v>
      </c>
      <c r="D129" s="124">
        <v>63915129</v>
      </c>
      <c r="E129" s="28">
        <f>BREAKDOWN!J1079</f>
        <v>63915128.840000011</v>
      </c>
      <c r="F129" s="488">
        <f>BREAKDOWN!K1079</f>
        <v>0</v>
      </c>
      <c r="G129" s="469">
        <f>BREAKDOWN!L1079</f>
        <v>63915128.840000011</v>
      </c>
      <c r="H129" s="4">
        <f>BREAKDOWN!M1079</f>
        <v>70306641.724000007</v>
      </c>
      <c r="I129" s="4">
        <f>BREAKDOWN!N1079</f>
        <v>77337305.896400005</v>
      </c>
    </row>
    <row r="130" spans="1:9">
      <c r="A130" s="127"/>
      <c r="B130" s="121"/>
      <c r="C130" s="3" t="str">
        <f>BREAKDOWN!C1092</f>
        <v>Overhead Cost -Total</v>
      </c>
      <c r="D130" s="124">
        <v>39181000</v>
      </c>
      <c r="E130" s="28">
        <f>BREAKDOWN!J1092</f>
        <v>39216000</v>
      </c>
      <c r="F130" s="488">
        <f>BREAKDOWN!K1092</f>
        <v>1717660.8</v>
      </c>
      <c r="G130" s="469">
        <f>BREAKDOWN!L1092</f>
        <v>37498339.200000003</v>
      </c>
      <c r="H130" s="4">
        <f>BREAKDOWN!M1092</f>
        <v>61744590</v>
      </c>
      <c r="I130" s="4">
        <f>BREAKDOWN!N1092</f>
        <v>61744590</v>
      </c>
    </row>
    <row r="131" spans="1:9" s="9" customFormat="1" ht="30">
      <c r="A131" s="128"/>
      <c r="B131" s="103" t="str">
        <f>BREAKDOWN!B1093</f>
        <v>MINISTRY OF ENVIRONMENT AND NATURAL RESOURCES -TOTAL</v>
      </c>
      <c r="C131" s="5"/>
      <c r="D131" s="104">
        <f>SUM(D129:D130)</f>
        <v>103096129</v>
      </c>
      <c r="E131" s="114">
        <f>SUM(E129:E130)</f>
        <v>103131128.84</v>
      </c>
      <c r="F131" s="490">
        <f t="shared" ref="F131:G131" si="40">SUM(F129:F130)</f>
        <v>1717660.8</v>
      </c>
      <c r="G131" s="468">
        <f t="shared" si="40"/>
        <v>101413468.04000002</v>
      </c>
      <c r="H131" s="113">
        <f>SUM(H129:H130)</f>
        <v>132051231.72400001</v>
      </c>
      <c r="I131" s="113">
        <f>SUM(I129:I130)</f>
        <v>139081895.8964</v>
      </c>
    </row>
    <row r="132" spans="1:9" ht="30">
      <c r="A132" s="127" t="str">
        <f>BREAKDOWN!A1095</f>
        <v>023501600100</v>
      </c>
      <c r="B132" s="121" t="str">
        <f>BREAKDOWN!B1095</f>
        <v>KADUNA STATE ENVIRONMENTAL PROTECTION AUTHORITY</v>
      </c>
      <c r="C132" s="3" t="str">
        <f>BREAKDOWN!C1096</f>
        <v>Personnel Cost -Total</v>
      </c>
      <c r="D132" s="124">
        <v>72721367</v>
      </c>
      <c r="E132" s="28">
        <f>BREAKDOWN!J1096</f>
        <v>79993503.700000003</v>
      </c>
      <c r="F132" s="488">
        <f>BREAKDOWN!K1096</f>
        <v>0</v>
      </c>
      <c r="G132" s="469">
        <f>BREAKDOWN!L1096</f>
        <v>79993503.700000003</v>
      </c>
      <c r="H132" s="4">
        <f>BREAKDOWN!M1096</f>
        <v>87992854.070000008</v>
      </c>
      <c r="I132" s="4">
        <f>BREAKDOWN!N1096</f>
        <v>96792139.477000013</v>
      </c>
    </row>
    <row r="133" spans="1:9">
      <c r="A133" s="127"/>
      <c r="B133" s="121"/>
      <c r="C133" s="3" t="str">
        <f>BREAKDOWN!C1109</f>
        <v>Overhead Cost- Total</v>
      </c>
      <c r="D133" s="124">
        <v>16489000</v>
      </c>
      <c r="E133" s="28">
        <f>BREAKDOWN!J1109</f>
        <v>13777000</v>
      </c>
      <c r="F133" s="488">
        <f>BREAKDOWN!K1109</f>
        <v>603432.6</v>
      </c>
      <c r="G133" s="469">
        <f>BREAKDOWN!L1109</f>
        <v>13173567.4</v>
      </c>
      <c r="H133" s="4">
        <f>BREAKDOWN!M1109</f>
        <v>19028100</v>
      </c>
      <c r="I133" s="4">
        <f>BREAKDOWN!N1109</f>
        <v>19473100</v>
      </c>
    </row>
    <row r="134" spans="1:9" s="9" customFormat="1" ht="30">
      <c r="A134" s="128"/>
      <c r="B134" s="103" t="str">
        <f>BREAKDOWN!B1110</f>
        <v>KADUNA STATE ENVIRONMENTAL PROTECTION AUTHORITY -TOTAL</v>
      </c>
      <c r="C134" s="5"/>
      <c r="D134" s="104">
        <f>SUM(D132:D133)</f>
        <v>89210367</v>
      </c>
      <c r="E134" s="114">
        <f>SUM(E132:E133)</f>
        <v>93770503.700000003</v>
      </c>
      <c r="F134" s="490">
        <f t="shared" ref="F134:G134" si="41">SUM(F132:F133)</f>
        <v>603432.6</v>
      </c>
      <c r="G134" s="468">
        <f t="shared" si="41"/>
        <v>93167071.100000009</v>
      </c>
      <c r="H134" s="113">
        <f>SUM(H132:H133)</f>
        <v>107020954.07000001</v>
      </c>
      <c r="I134" s="113">
        <f>SUM(I132:I133)</f>
        <v>116265239.47700001</v>
      </c>
    </row>
    <row r="135" spans="1:9">
      <c r="A135" s="127" t="str">
        <f>BREAKDOWN!A1112</f>
        <v>023800100100</v>
      </c>
      <c r="B135" s="121" t="str">
        <f>BREAKDOWN!B1112</f>
        <v>MINISTRY OF BUDGET AND PLANNING</v>
      </c>
      <c r="C135" s="3" t="str">
        <f>BREAKDOWN!C1113</f>
        <v xml:space="preserve">Personnel Cost- Total </v>
      </c>
      <c r="D135" s="124">
        <v>69180013</v>
      </c>
      <c r="E135" s="28">
        <f>BREAKDOWN!J1113</f>
        <v>213442235.40000001</v>
      </c>
      <c r="F135" s="488">
        <f>BREAKDOWN!K1113</f>
        <v>0</v>
      </c>
      <c r="G135" s="469">
        <f>BREAKDOWN!L1113</f>
        <v>213442235.40000001</v>
      </c>
      <c r="H135" s="4">
        <f>BREAKDOWN!M1113</f>
        <v>314718553.17000008</v>
      </c>
      <c r="I135" s="4">
        <f>BREAKDOWN!N1113</f>
        <v>330454480.82850003</v>
      </c>
    </row>
    <row r="136" spans="1:9">
      <c r="A136" s="127"/>
      <c r="B136" s="121"/>
      <c r="C136" s="3" t="str">
        <f>BREAKDOWN!C1130</f>
        <v>Overhead Cost -Total</v>
      </c>
      <c r="D136" s="124">
        <v>141846000</v>
      </c>
      <c r="E136" s="28">
        <f>BREAKDOWN!J1130</f>
        <v>207554100</v>
      </c>
      <c r="F136" s="488">
        <f>BREAKDOWN!K1130</f>
        <v>9090869.5800000001</v>
      </c>
      <c r="G136" s="469">
        <f>BREAKDOWN!L1130</f>
        <v>198463230.42000002</v>
      </c>
      <c r="H136" s="4">
        <f>BREAKDOWN!M1130</f>
        <v>155026100</v>
      </c>
      <c r="I136" s="4">
        <f>BREAKDOWN!N1130</f>
        <v>156757100</v>
      </c>
    </row>
    <row r="137" spans="1:9" s="9" customFormat="1">
      <c r="A137" s="128"/>
      <c r="B137" s="103" t="str">
        <f>BREAKDOWN!B1131</f>
        <v>MINISTRY OF BUDGET AND PLANNING -TOTAL</v>
      </c>
      <c r="C137" s="5"/>
      <c r="D137" s="104">
        <f>SUM(D135:D136)</f>
        <v>211026013</v>
      </c>
      <c r="E137" s="114">
        <f>SUM(E135:E136)</f>
        <v>420996335.39999998</v>
      </c>
      <c r="F137" s="490">
        <f t="shared" ref="F137:G137" si="42">SUM(F135:F136)</f>
        <v>9090869.5800000001</v>
      </c>
      <c r="G137" s="468">
        <f t="shared" si="42"/>
        <v>411905465.82000005</v>
      </c>
      <c r="H137" s="113">
        <f>SUM(H135:H136)</f>
        <v>469744653.17000008</v>
      </c>
      <c r="I137" s="113">
        <f>SUM(I135:I136)</f>
        <v>487211580.82850003</v>
      </c>
    </row>
    <row r="138" spans="1:9">
      <c r="A138" s="127" t="str">
        <f>BREAKDOWN!A1133</f>
        <v>023800200100</v>
      </c>
      <c r="B138" s="121" t="str">
        <f>BREAKDOWN!B1133</f>
        <v>KADUNA STATE BUREAU OF STATISTICS</v>
      </c>
      <c r="C138" s="3" t="str">
        <f>BREAKDOWN!C1134</f>
        <v>Personnel Cost -Total</v>
      </c>
      <c r="D138" s="124">
        <v>102232804</v>
      </c>
      <c r="E138" s="28">
        <f>BREAKDOWN!J1134</f>
        <v>102853014</v>
      </c>
      <c r="F138" s="488">
        <f>BREAKDOWN!K1134</f>
        <v>0</v>
      </c>
      <c r="G138" s="469">
        <f>BREAKDOWN!L1134</f>
        <v>102853014</v>
      </c>
      <c r="H138" s="4">
        <f>BREAKDOWN!M1134</f>
        <v>113138315.40000001</v>
      </c>
      <c r="I138" s="4">
        <f>BREAKDOWN!N1134</f>
        <v>124452146.94000001</v>
      </c>
    </row>
    <row r="139" spans="1:9">
      <c r="A139" s="127"/>
      <c r="B139" s="121"/>
      <c r="C139" s="3" t="str">
        <f>BREAKDOWN!C1149</f>
        <v>Overhead Cost- Total</v>
      </c>
      <c r="D139" s="124">
        <v>19686000</v>
      </c>
      <c r="E139" s="28">
        <f>BREAKDOWN!J1149</f>
        <v>20445000</v>
      </c>
      <c r="F139" s="488">
        <f>BREAKDOWN!K1149</f>
        <v>895491</v>
      </c>
      <c r="G139" s="469">
        <f>BREAKDOWN!L1149</f>
        <v>19549509</v>
      </c>
      <c r="H139" s="4">
        <f>BREAKDOWN!M1149</f>
        <v>20475000</v>
      </c>
      <c r="I139" s="4">
        <f>BREAKDOWN!N1149</f>
        <v>20475000</v>
      </c>
    </row>
    <row r="140" spans="1:9" s="9" customFormat="1">
      <c r="A140" s="128"/>
      <c r="B140" s="103" t="str">
        <f>BREAKDOWN!B1150</f>
        <v>KADUNA STATE BUREAU OF STATISTICS -TOTAL</v>
      </c>
      <c r="C140" s="5"/>
      <c r="D140" s="104">
        <f>SUM(D138:D139)</f>
        <v>121918804</v>
      </c>
      <c r="E140" s="114">
        <f>SUM(E138:E139)</f>
        <v>123298014</v>
      </c>
      <c r="F140" s="490">
        <f t="shared" ref="F140:G140" si="43">SUM(F138:F139)</f>
        <v>895491</v>
      </c>
      <c r="G140" s="468">
        <f t="shared" si="43"/>
        <v>122402523</v>
      </c>
      <c r="H140" s="113">
        <f>SUM(H138:H139)</f>
        <v>133613315.40000001</v>
      </c>
      <c r="I140" s="113">
        <f>SUM(I138:I139)</f>
        <v>144927146.94</v>
      </c>
    </row>
    <row r="141" spans="1:9">
      <c r="A141" s="127" t="str">
        <f>BREAKDOWN!A1152</f>
        <v>025200100100</v>
      </c>
      <c r="B141" s="121" t="str">
        <f>BREAKDOWN!B1152</f>
        <v>MINISTRY OF WATER RESOURCES</v>
      </c>
      <c r="C141" s="3" t="str">
        <f>BREAKDOWN!C1153</f>
        <v>Personnel Cost -Total</v>
      </c>
      <c r="D141" s="124">
        <v>61426071</v>
      </c>
      <c r="E141" s="28">
        <f>BREAKDOWN!J1153</f>
        <v>54145945.969999999</v>
      </c>
      <c r="F141" s="488">
        <f>BREAKDOWN!K1153</f>
        <v>0</v>
      </c>
      <c r="G141" s="469">
        <f>BREAKDOWN!L1153</f>
        <v>54145945.969999999</v>
      </c>
      <c r="H141" s="4">
        <f>BREAKDOWN!M1153</f>
        <v>59560540.567000002</v>
      </c>
      <c r="I141" s="4">
        <f>BREAKDOWN!N1153</f>
        <v>65516594.6237</v>
      </c>
    </row>
    <row r="142" spans="1:9">
      <c r="A142" s="127"/>
      <c r="B142" s="121"/>
      <c r="C142" s="3" t="str">
        <f>BREAKDOWN!C1163</f>
        <v>Overhead Cost -Total</v>
      </c>
      <c r="D142" s="124">
        <v>14666000</v>
      </c>
      <c r="E142" s="28">
        <f>BREAKDOWN!J1163</f>
        <v>15230900</v>
      </c>
      <c r="F142" s="488">
        <f>BREAKDOWN!K1163</f>
        <v>667113.41999999993</v>
      </c>
      <c r="G142" s="469">
        <f>BREAKDOWN!L1163</f>
        <v>14563786.580000002</v>
      </c>
      <c r="H142" s="4">
        <f>BREAKDOWN!M1163</f>
        <v>20191900</v>
      </c>
      <c r="I142" s="4">
        <f>BREAKDOWN!N1163</f>
        <v>20658700</v>
      </c>
    </row>
    <row r="143" spans="1:9" s="9" customFormat="1">
      <c r="A143" s="128"/>
      <c r="B143" s="103" t="str">
        <f>BREAKDOWN!B1164</f>
        <v>MINISTRY OF WATER RESOURCES -TOTAL</v>
      </c>
      <c r="C143" s="5"/>
      <c r="D143" s="104">
        <f>SUM(D141:D142)</f>
        <v>76092071</v>
      </c>
      <c r="E143" s="114">
        <f>SUM(E141:E142)</f>
        <v>69376845.969999999</v>
      </c>
      <c r="F143" s="490">
        <f t="shared" ref="F143:G143" si="44">SUM(F141:F142)</f>
        <v>667113.41999999993</v>
      </c>
      <c r="G143" s="468">
        <f t="shared" si="44"/>
        <v>68709732.549999997</v>
      </c>
      <c r="H143" s="113">
        <f>SUM(H141:H142)</f>
        <v>79752440.567000002</v>
      </c>
      <c r="I143" s="113">
        <f>SUM(I141:I142)</f>
        <v>86175294.623699993</v>
      </c>
    </row>
    <row r="144" spans="1:9">
      <c r="A144" s="127" t="str">
        <f>BREAKDOWN!A1166</f>
        <v>025200400100</v>
      </c>
      <c r="B144" s="121" t="str">
        <f>BREAKDOWN!B1166</f>
        <v>RURAL WATER SUPPLY AND SANITATION AGENCY</v>
      </c>
      <c r="C144" s="3" t="str">
        <f>BREAKDOWN!C1174</f>
        <v>Personnel Cost -Total</v>
      </c>
      <c r="D144" s="124">
        <v>13822541</v>
      </c>
      <c r="E144" s="28">
        <f>BREAKDOWN!J1174</f>
        <v>17108769.329999998</v>
      </c>
      <c r="F144" s="488">
        <f>BREAKDOWN!K1174</f>
        <v>0</v>
      </c>
      <c r="G144" s="469">
        <f>BREAKDOWN!L1174</f>
        <v>17108769.329999998</v>
      </c>
      <c r="H144" s="4">
        <f>BREAKDOWN!M1174</f>
        <v>18819646.263</v>
      </c>
      <c r="I144" s="4">
        <f>BREAKDOWN!N1174</f>
        <v>20701610.8893</v>
      </c>
    </row>
    <row r="145" spans="1:9">
      <c r="A145" s="127"/>
      <c r="B145" s="121"/>
      <c r="C145" s="3" t="str">
        <f>BREAKDOWN!C1185</f>
        <v>Overhead Cost- Total</v>
      </c>
      <c r="D145" s="124">
        <v>6355000</v>
      </c>
      <c r="E145" s="28">
        <f>BREAKDOWN!J1185</f>
        <v>6893700</v>
      </c>
      <c r="F145" s="488">
        <f>BREAKDOWN!K1185</f>
        <v>301944.06</v>
      </c>
      <c r="G145" s="469">
        <f>BREAKDOWN!L1185</f>
        <v>6591755.9400000004</v>
      </c>
      <c r="H145" s="4">
        <f>BREAKDOWN!M1185</f>
        <v>9454700</v>
      </c>
      <c r="I145" s="4">
        <f>BREAKDOWN!N1185</f>
        <v>9708200</v>
      </c>
    </row>
    <row r="146" spans="1:9" s="9" customFormat="1" ht="30">
      <c r="A146" s="128"/>
      <c r="B146" s="103" t="str">
        <f>BREAKDOWN!B1186</f>
        <v>RURAL WATER SUPPLY AND SANITATION AGENCY -TOTAL</v>
      </c>
      <c r="C146" s="5"/>
      <c r="D146" s="104">
        <f>SUM(D144:D145)</f>
        <v>20177541</v>
      </c>
      <c r="E146" s="114">
        <f>SUM(E144:E145)</f>
        <v>24002469.329999998</v>
      </c>
      <c r="F146" s="490">
        <f t="shared" ref="F146:G146" si="45">SUM(F144:F145)</f>
        <v>301944.06</v>
      </c>
      <c r="G146" s="468">
        <f t="shared" si="45"/>
        <v>23700525.27</v>
      </c>
      <c r="H146" s="113">
        <f>SUM(H144:H145)</f>
        <v>28274346.263</v>
      </c>
      <c r="I146" s="113">
        <f>SUM(I144:I145)</f>
        <v>30409810.8893</v>
      </c>
    </row>
    <row r="147" spans="1:9">
      <c r="A147" s="127" t="str">
        <f>BREAKDOWN!A1188</f>
        <v>031801100100</v>
      </c>
      <c r="B147" s="121" t="str">
        <f>BREAKDOWN!B1188</f>
        <v xml:space="preserve">JUDICIAL SERVICE COMMISSION </v>
      </c>
      <c r="C147" s="3" t="str">
        <f>BREAKDOWN!C1189</f>
        <v>Personnel Cost -Total</v>
      </c>
      <c r="D147" s="124">
        <v>0</v>
      </c>
      <c r="E147" s="28">
        <f>BREAKDOWN!J1189</f>
        <v>24675801</v>
      </c>
      <c r="F147" s="488">
        <f>BREAKDOWN!K1189</f>
        <v>0</v>
      </c>
      <c r="G147" s="469">
        <f>BREAKDOWN!L1189</f>
        <v>24675801</v>
      </c>
      <c r="H147" s="4">
        <f>BREAKDOWN!M1189</f>
        <v>27143381.100000001</v>
      </c>
      <c r="I147" s="4">
        <f>BREAKDOWN!N1189</f>
        <v>29857719.210000001</v>
      </c>
    </row>
    <row r="148" spans="1:9">
      <c r="A148" s="127"/>
      <c r="B148" s="121"/>
      <c r="C148" s="3" t="str">
        <f>BREAKDOWN!C1205</f>
        <v>Overhead Cost- Total</v>
      </c>
      <c r="D148" s="124">
        <v>47509000</v>
      </c>
      <c r="E148" s="28">
        <f>BREAKDOWN!J1205</f>
        <v>47857760</v>
      </c>
      <c r="F148" s="488">
        <f>BREAKDOWN!K1205</f>
        <v>2096169.888</v>
      </c>
      <c r="G148" s="469">
        <f>BREAKDOWN!L1205</f>
        <v>45761590.111999996</v>
      </c>
      <c r="H148" s="4">
        <f>BREAKDOWN!M1205</f>
        <v>56161360</v>
      </c>
      <c r="I148" s="4">
        <f>BREAKDOWN!N1205</f>
        <v>59997720</v>
      </c>
    </row>
    <row r="149" spans="1:9" s="9" customFormat="1">
      <c r="A149" s="128"/>
      <c r="B149" s="103" t="str">
        <f>BREAKDOWN!B1206</f>
        <v>JUDICIAL SERVICE COMMISSION -TOTAL</v>
      </c>
      <c r="C149" s="5"/>
      <c r="D149" s="104">
        <f>SUM(D148)</f>
        <v>47509000</v>
      </c>
      <c r="E149" s="114">
        <f>SUM(E147:E148)</f>
        <v>72533561</v>
      </c>
      <c r="F149" s="490">
        <f t="shared" ref="F149:G149" si="46">SUM(F147:F148)</f>
        <v>2096169.888</v>
      </c>
      <c r="G149" s="468">
        <f t="shared" si="46"/>
        <v>70437391.111999989</v>
      </c>
      <c r="H149" s="113">
        <f>SUM(H147:H148)</f>
        <v>83304741.099999994</v>
      </c>
      <c r="I149" s="113">
        <f>SUM(I147:I148)</f>
        <v>89855439.210000008</v>
      </c>
    </row>
    <row r="150" spans="1:9">
      <c r="A150" s="127" t="str">
        <f>BREAKDOWN!A1208</f>
        <v>032600100100</v>
      </c>
      <c r="B150" s="121" t="str">
        <f>BREAKDOWN!B1208</f>
        <v>MINISTRY OF JUSTICE</v>
      </c>
      <c r="C150" s="3" t="str">
        <f>BREAKDOWN!C1209</f>
        <v>Personnel Cost- Total</v>
      </c>
      <c r="D150" s="124">
        <v>156700701</v>
      </c>
      <c r="E150" s="28">
        <f>BREAKDOWN!J1209</f>
        <v>159020839.44</v>
      </c>
      <c r="F150" s="488">
        <f>BREAKDOWN!K1209</f>
        <v>0</v>
      </c>
      <c r="G150" s="469">
        <f>BREAKDOWN!L1209</f>
        <v>159020839.44</v>
      </c>
      <c r="H150" s="4">
        <f>BREAKDOWN!M1209</f>
        <v>174922923.384</v>
      </c>
      <c r="I150" s="4">
        <f>BREAKDOWN!N1209</f>
        <v>192415215.72240001</v>
      </c>
    </row>
    <row r="151" spans="1:9">
      <c r="A151" s="127"/>
      <c r="B151" s="121"/>
      <c r="C151" s="3" t="str">
        <f>BREAKDOWN!C1223</f>
        <v>Overhead Cost -Total</v>
      </c>
      <c r="D151" s="124">
        <v>126852000</v>
      </c>
      <c r="E151" s="28">
        <f>BREAKDOWN!J1223</f>
        <v>72438000</v>
      </c>
      <c r="F151" s="488">
        <f>BREAKDOWN!K1223</f>
        <v>3172784.4</v>
      </c>
      <c r="G151" s="469">
        <f>BREAKDOWN!L1223</f>
        <v>69265215.599999994</v>
      </c>
      <c r="H151" s="4">
        <f>BREAKDOWN!M1223</f>
        <v>72680960</v>
      </c>
      <c r="I151" s="4">
        <f>BREAKDOWN!N1223</f>
        <v>72680960</v>
      </c>
    </row>
    <row r="152" spans="1:9" s="9" customFormat="1">
      <c r="A152" s="128"/>
      <c r="B152" s="103" t="str">
        <f>BREAKDOWN!B1224</f>
        <v>MINISTRY OF JUSTICE -TOTAL</v>
      </c>
      <c r="C152" s="5"/>
      <c r="D152" s="104">
        <f>SUM(D150:D151)</f>
        <v>283552701</v>
      </c>
      <c r="E152" s="114">
        <f>SUM(E150:E151)</f>
        <v>231458839.44</v>
      </c>
      <c r="F152" s="490">
        <f t="shared" ref="F152:G152" si="47">SUM(F150:F151)</f>
        <v>3172784.4</v>
      </c>
      <c r="G152" s="468">
        <f t="shared" si="47"/>
        <v>228286055.03999999</v>
      </c>
      <c r="H152" s="113">
        <f>SUM(H150:H151)</f>
        <v>247603883.384</v>
      </c>
      <c r="I152" s="113">
        <f>SUM(I150:I151)</f>
        <v>265096175.72240001</v>
      </c>
    </row>
    <row r="153" spans="1:9">
      <c r="A153" s="127" t="str">
        <f>BREAKDOWN!A1226</f>
        <v>032605100100</v>
      </c>
      <c r="B153" s="121" t="str">
        <f>BREAKDOWN!B1226</f>
        <v>HIGH COURT OF JUSTICE</v>
      </c>
      <c r="C153" s="3" t="str">
        <f>BREAKDOWN!C1227</f>
        <v>Personnel Cost -Total</v>
      </c>
      <c r="D153" s="124">
        <v>649855287</v>
      </c>
      <c r="E153" s="297">
        <f>BREAKDOWN!J1227</f>
        <v>757343338.71999812</v>
      </c>
      <c r="F153" s="491">
        <f>BREAKDOWN!K1227</f>
        <v>0</v>
      </c>
      <c r="G153" s="467">
        <f>BREAKDOWN!L1227</f>
        <v>757343338.71999812</v>
      </c>
      <c r="H153" s="4">
        <f>BREAKDOWN!M1227</f>
        <v>672714432.19199789</v>
      </c>
      <c r="I153" s="4">
        <f>BREAKDOWN!N1227</f>
        <v>739985875.41119766</v>
      </c>
    </row>
    <row r="154" spans="1:9">
      <c r="A154" s="127"/>
      <c r="B154" s="121"/>
      <c r="C154" s="3" t="str">
        <f>BREAKDOWN!C1255</f>
        <v>Overhead Cost -Total</v>
      </c>
      <c r="D154" s="124">
        <v>154998000</v>
      </c>
      <c r="E154" s="297">
        <f>BREAKDOWN!J1255</f>
        <v>163498000</v>
      </c>
      <c r="F154" s="491">
        <f>BREAKDOWN!K1255</f>
        <v>7161212.3999999994</v>
      </c>
      <c r="G154" s="467">
        <f>BREAKDOWN!L1255</f>
        <v>156336787.59999999</v>
      </c>
      <c r="H154" s="4">
        <f>BREAKDOWN!M1255</f>
        <v>154475410</v>
      </c>
      <c r="I154" s="4">
        <f>BREAKDOWN!N1255</f>
        <v>155605561</v>
      </c>
    </row>
    <row r="155" spans="1:9" s="9" customFormat="1">
      <c r="A155" s="128"/>
      <c r="B155" s="103" t="str">
        <f>BREAKDOWN!B1256</f>
        <v>HIGH COURT OF JUSTICE- TOTAL</v>
      </c>
      <c r="C155" s="5"/>
      <c r="D155" s="104">
        <f>SUM(D153:D154)</f>
        <v>804853287</v>
      </c>
      <c r="E155" s="114">
        <f>SUM(E153:E154)</f>
        <v>920841338.71999812</v>
      </c>
      <c r="F155" s="490">
        <f t="shared" ref="F155:G155" si="48">SUM(F153:F154)</f>
        <v>7161212.3999999994</v>
      </c>
      <c r="G155" s="468">
        <f t="shared" si="48"/>
        <v>913680126.31999815</v>
      </c>
      <c r="H155" s="113">
        <f>SUM(H153:H154)</f>
        <v>827189842.19199789</v>
      </c>
      <c r="I155" s="113">
        <f>SUM(I153:I154)</f>
        <v>895591436.41119766</v>
      </c>
    </row>
    <row r="156" spans="1:9">
      <c r="A156" s="127" t="str">
        <f>BREAKDOWN!A1258</f>
        <v>032605200100</v>
      </c>
      <c r="B156" s="121" t="str">
        <f>BREAKDOWN!B1258</f>
        <v>CUSTOMARY COURT OF APPEAL</v>
      </c>
      <c r="C156" s="3" t="str">
        <f>BREAKDOWN!C1259</f>
        <v>Personnel Cost -Total</v>
      </c>
      <c r="D156" s="124">
        <v>651590686</v>
      </c>
      <c r="E156" s="28">
        <f>BREAKDOWN!J1259</f>
        <v>613820740.54880071</v>
      </c>
      <c r="F156" s="488">
        <f>BREAKDOWN!K1259</f>
        <v>0</v>
      </c>
      <c r="G156" s="469">
        <f>BREAKDOWN!L1259</f>
        <v>613820740.54880071</v>
      </c>
      <c r="H156" s="4">
        <f>BREAKDOWN!M1259</f>
        <v>588292586.80368078</v>
      </c>
      <c r="I156" s="4">
        <f>BREAKDOWN!N1259</f>
        <v>647121845.48404884</v>
      </c>
    </row>
    <row r="157" spans="1:9">
      <c r="A157" s="127"/>
      <c r="B157" s="121"/>
      <c r="C157" s="3" t="str">
        <f>BREAKDOWN!C1280</f>
        <v>Overhead Cost -Total</v>
      </c>
      <c r="D157" s="124">
        <v>75045000</v>
      </c>
      <c r="E157" s="28">
        <f>BREAKDOWN!J1280</f>
        <v>88165797</v>
      </c>
      <c r="F157" s="488">
        <f>BREAKDOWN!K1280</f>
        <v>3861661.9085999997</v>
      </c>
      <c r="G157" s="469">
        <f>BREAKDOWN!L1280</f>
        <v>84304135.091399997</v>
      </c>
      <c r="H157" s="4">
        <f>BREAKDOWN!M1280</f>
        <v>119786897</v>
      </c>
      <c r="I157" s="4">
        <f>BREAKDOWN!N1280</f>
        <v>121462897</v>
      </c>
    </row>
    <row r="158" spans="1:9" s="9" customFormat="1">
      <c r="A158" s="128"/>
      <c r="B158" s="103" t="str">
        <f>BREAKDOWN!B1281</f>
        <v>CUSTOMARY COURT OF APPEAL -TOTAL</v>
      </c>
      <c r="C158" s="5"/>
      <c r="D158" s="104">
        <f>SUM(D156:D157)</f>
        <v>726635686</v>
      </c>
      <c r="E158" s="114">
        <f>SUM(E156:E157)</f>
        <v>701986537.54880071</v>
      </c>
      <c r="F158" s="490">
        <f t="shared" ref="F158:G158" si="49">SUM(F156:F157)</f>
        <v>3861661.9085999997</v>
      </c>
      <c r="G158" s="468">
        <f t="shared" si="49"/>
        <v>698124875.64020073</v>
      </c>
      <c r="H158" s="113">
        <f>SUM(H156:H157)</f>
        <v>708079483.80368078</v>
      </c>
      <c r="I158" s="113">
        <f>SUM(I156:I157)</f>
        <v>768584742.48404884</v>
      </c>
    </row>
    <row r="159" spans="1:9">
      <c r="A159" s="127" t="str">
        <f>BREAKDOWN!A1283</f>
        <v>032605300100</v>
      </c>
      <c r="B159" s="121" t="str">
        <f>BREAKDOWN!B1283</f>
        <v>SHARIA COURT OF APPEAL</v>
      </c>
      <c r="C159" s="3" t="str">
        <f>BREAKDOWN!C1294</f>
        <v>Personnel Cost- Total</v>
      </c>
      <c r="D159" s="124">
        <v>645390708</v>
      </c>
      <c r="E159" s="28">
        <f>BREAKDOWN!J1294</f>
        <v>655200094.62999988</v>
      </c>
      <c r="F159" s="488">
        <f>BREAKDOWN!K1294</f>
        <v>0</v>
      </c>
      <c r="G159" s="469">
        <f>BREAKDOWN!L1294</f>
        <v>655200094.62999988</v>
      </c>
      <c r="H159" s="4">
        <f>BREAKDOWN!M1294</f>
        <v>655200094.62999988</v>
      </c>
      <c r="I159" s="4">
        <f>BREAKDOWN!N1294</f>
        <v>655200094.62999988</v>
      </c>
    </row>
    <row r="160" spans="1:9">
      <c r="A160" s="127"/>
      <c r="B160" s="121"/>
      <c r="C160" s="3" t="str">
        <f>BREAKDOWN!C1317</f>
        <v>Overhead Cost -Total</v>
      </c>
      <c r="D160" s="124">
        <v>80141000</v>
      </c>
      <c r="E160" s="28">
        <f>BREAKDOWN!J1317</f>
        <v>126221496</v>
      </c>
      <c r="F160" s="488">
        <f>BREAKDOWN!K1317</f>
        <v>5528501.5247999998</v>
      </c>
      <c r="G160" s="469">
        <f>BREAKDOWN!L1317</f>
        <v>120692994.47520001</v>
      </c>
      <c r="H160" s="4">
        <f>BREAKDOWN!M1317</f>
        <v>96680840</v>
      </c>
      <c r="I160" s="4">
        <f>BREAKDOWN!N1317</f>
        <v>102231840</v>
      </c>
    </row>
    <row r="161" spans="1:9" s="9" customFormat="1">
      <c r="A161" s="128"/>
      <c r="B161" s="103" t="str">
        <f>BREAKDOWN!B1318</f>
        <v>SHARIA COURT OF APPEAL -TOTAL</v>
      </c>
      <c r="C161" s="5"/>
      <c r="D161" s="104">
        <f>SUM(D159:D160)</f>
        <v>725531708</v>
      </c>
      <c r="E161" s="114">
        <f>SUM(E159:E160)</f>
        <v>781421590.62999988</v>
      </c>
      <c r="F161" s="490">
        <f t="shared" ref="F161:G161" si="50">SUM(F159:F160)</f>
        <v>5528501.5247999998</v>
      </c>
      <c r="G161" s="468">
        <f t="shared" si="50"/>
        <v>775893089.10519993</v>
      </c>
      <c r="H161" s="113">
        <f>SUM(H159:H160)</f>
        <v>751880934.62999988</v>
      </c>
      <c r="I161" s="113">
        <f>SUM(I159:I160)</f>
        <v>757431934.62999988</v>
      </c>
    </row>
    <row r="162" spans="1:9">
      <c r="A162" s="127" t="str">
        <f>BREAKDOWN!A1320</f>
        <v>051300100100</v>
      </c>
      <c r="B162" s="121" t="str">
        <f>BREAKDOWN!B1320</f>
        <v>MINISTRY OF YOUTH, SPORTS AND CULTURE</v>
      </c>
      <c r="C162" s="3" t="str">
        <f>BREAKDOWN!C1321</f>
        <v>Personnel Cost -Total</v>
      </c>
      <c r="D162" s="124">
        <v>154230597</v>
      </c>
      <c r="E162" s="28">
        <f>BREAKDOWN!J1321</f>
        <v>145245463.22400028</v>
      </c>
      <c r="F162" s="488">
        <f>BREAKDOWN!K1321</f>
        <v>0</v>
      </c>
      <c r="G162" s="469">
        <f>BREAKDOWN!L1321</f>
        <v>145245463.22400028</v>
      </c>
      <c r="H162" s="4">
        <f>BREAKDOWN!M1321</f>
        <v>159770009.54640031</v>
      </c>
      <c r="I162" s="4">
        <f>BREAKDOWN!N1321</f>
        <v>175747010.50104034</v>
      </c>
    </row>
    <row r="163" spans="1:9">
      <c r="A163" s="127"/>
      <c r="B163" s="121"/>
      <c r="C163" s="3" t="str">
        <f>BREAKDOWN!C1335</f>
        <v>Overhead Cost -Total</v>
      </c>
      <c r="D163" s="124">
        <v>206109000</v>
      </c>
      <c r="E163" s="28">
        <f>BREAKDOWN!J1335</f>
        <v>186465660</v>
      </c>
      <c r="F163" s="488">
        <f>BREAKDOWN!K1335</f>
        <v>8167195.9079999998</v>
      </c>
      <c r="G163" s="469">
        <f>BREAKDOWN!L1335</f>
        <v>178298464.09200001</v>
      </c>
      <c r="H163" s="4">
        <f>BREAKDOWN!M1335</f>
        <v>245741590</v>
      </c>
      <c r="I163" s="4">
        <f>BREAKDOWN!N1335</f>
        <v>246395490</v>
      </c>
    </row>
    <row r="164" spans="1:9" s="9" customFormat="1" ht="30">
      <c r="A164" s="128"/>
      <c r="B164" s="103" t="str">
        <f>BREAKDOWN!B1336</f>
        <v>MINISTRY OF YOUTH, SPORTS AND CULTURE- TOTAL</v>
      </c>
      <c r="C164" s="5"/>
      <c r="D164" s="104">
        <f>SUM(D162:D163)</f>
        <v>360339597</v>
      </c>
      <c r="E164" s="114">
        <f>SUM(E162:E163)</f>
        <v>331711123.22400028</v>
      </c>
      <c r="F164" s="490">
        <f t="shared" ref="F164:G164" si="51">SUM(F162:F163)</f>
        <v>8167195.9079999998</v>
      </c>
      <c r="G164" s="468">
        <f t="shared" si="51"/>
        <v>323543927.31600028</v>
      </c>
      <c r="H164" s="113">
        <f>SUM(H162:H163)</f>
        <v>405511599.54640031</v>
      </c>
      <c r="I164" s="113">
        <f>SUM(I162:I163)</f>
        <v>422142500.50104034</v>
      </c>
    </row>
    <row r="165" spans="1:9" ht="30">
      <c r="A165" s="127" t="str">
        <f>BREAKDOWN!A1338</f>
        <v>051400100100</v>
      </c>
      <c r="B165" s="121" t="str">
        <f>BREAKDOWN!B1338</f>
        <v xml:space="preserve">MINISTRY OF WOMEN AFFAIRS AND SOCIAL DEVELOPMENT </v>
      </c>
      <c r="C165" s="3" t="str">
        <f>BREAKDOWN!C1339</f>
        <v>Personnel Cost -Total</v>
      </c>
      <c r="D165" s="124">
        <v>77926585</v>
      </c>
      <c r="E165" s="28">
        <f>BREAKDOWN!J1339</f>
        <v>74926585.129999995</v>
      </c>
      <c r="F165" s="488">
        <f>BREAKDOWN!K1339</f>
        <v>0</v>
      </c>
      <c r="G165" s="469">
        <f>BREAKDOWN!L1339</f>
        <v>74926585.129999995</v>
      </c>
      <c r="H165" s="4">
        <f>BREAKDOWN!M1339</f>
        <v>82419243.642999992</v>
      </c>
      <c r="I165" s="4">
        <f>BREAKDOWN!N1339</f>
        <v>90661168.007299989</v>
      </c>
    </row>
    <row r="166" spans="1:9">
      <c r="A166" s="127"/>
      <c r="B166" s="121"/>
      <c r="C166" s="3" t="str">
        <f>BREAKDOWN!C1349</f>
        <v>Overhead Cost -Total</v>
      </c>
      <c r="D166" s="124">
        <v>60472000</v>
      </c>
      <c r="E166" s="28">
        <f>BREAKDOWN!J1349</f>
        <v>22910000</v>
      </c>
      <c r="F166" s="488">
        <f>BREAKDOWN!K1349</f>
        <v>1003457.9999999999</v>
      </c>
      <c r="G166" s="469">
        <f>BREAKDOWN!L1349</f>
        <v>21906542</v>
      </c>
      <c r="H166" s="4">
        <f>BREAKDOWN!M1349</f>
        <v>25201000</v>
      </c>
      <c r="I166" s="4">
        <f>BREAKDOWN!N1349</f>
        <v>27721100</v>
      </c>
    </row>
    <row r="167" spans="1:9" s="9" customFormat="1" ht="30">
      <c r="A167" s="128"/>
      <c r="B167" s="103" t="str">
        <f>BREAKDOWN!B1350</f>
        <v>MINISTRY OF WOMEN AFFAIRS AND SOCIAL DEVELOPMENT-  TOTAL</v>
      </c>
      <c r="C167" s="5"/>
      <c r="D167" s="104">
        <f>SUM(D165:D166)</f>
        <v>138398585</v>
      </c>
      <c r="E167" s="114">
        <f>SUM(E165:E166)</f>
        <v>97836585.129999995</v>
      </c>
      <c r="F167" s="490">
        <f t="shared" ref="F167:G167" si="52">SUM(F165:F166)</f>
        <v>1003457.9999999999</v>
      </c>
      <c r="G167" s="468">
        <f t="shared" si="52"/>
        <v>96833127.129999995</v>
      </c>
      <c r="H167" s="113">
        <f>SUM(H165:H166)</f>
        <v>107620243.64299999</v>
      </c>
      <c r="I167" s="113">
        <f>SUM(I165:I166)</f>
        <v>118382268.00729999</v>
      </c>
    </row>
    <row r="168" spans="1:9">
      <c r="A168" s="127" t="str">
        <f>BREAKDOWN!A1352</f>
        <v>051405400100</v>
      </c>
      <c r="B168" s="121" t="str">
        <f>BREAKDOWN!B1352</f>
        <v>KADUNA STATE REHABILITATION BOARD</v>
      </c>
      <c r="C168" s="3" t="str">
        <f>BREAKDOWN!C1362</f>
        <v>Personnel Cost -Total</v>
      </c>
      <c r="D168" s="124">
        <v>43281925</v>
      </c>
      <c r="E168" s="28">
        <f>BREAKDOWN!J1362</f>
        <v>40375097.400000021</v>
      </c>
      <c r="F168" s="488">
        <f>BREAKDOWN!K1362</f>
        <v>0</v>
      </c>
      <c r="G168" s="469">
        <f>BREAKDOWN!L1362</f>
        <v>40375097.400000021</v>
      </c>
      <c r="H168" s="4">
        <f>BREAKDOWN!M1362</f>
        <v>44412607.140000023</v>
      </c>
      <c r="I168" s="4">
        <f>BREAKDOWN!N1362</f>
        <v>48853867.854000032</v>
      </c>
    </row>
    <row r="169" spans="1:9">
      <c r="A169" s="127"/>
      <c r="B169" s="121"/>
      <c r="C169" s="3" t="str">
        <f>BREAKDOWN!C1381</f>
        <v>Overhead Cost -Total</v>
      </c>
      <c r="D169" s="124">
        <v>28334000</v>
      </c>
      <c r="E169" s="28">
        <f>BREAKDOWN!J1381</f>
        <v>55521600</v>
      </c>
      <c r="F169" s="488">
        <f>BREAKDOWN!K1381</f>
        <v>2431846.08</v>
      </c>
      <c r="G169" s="469">
        <f>BREAKDOWN!L1381</f>
        <v>53089753.920000002</v>
      </c>
      <c r="H169" s="4">
        <f>BREAKDOWN!M1381</f>
        <v>54824350</v>
      </c>
      <c r="I169" s="4">
        <f>BREAKDOWN!N1381</f>
        <v>54814350</v>
      </c>
    </row>
    <row r="170" spans="1:9" s="9" customFormat="1">
      <c r="A170" s="128"/>
      <c r="B170" s="103" t="str">
        <f>BREAKDOWN!B1382</f>
        <v>KADUNA STATE REHABILITATION BOARD- TOTAL</v>
      </c>
      <c r="C170" s="5"/>
      <c r="D170" s="104">
        <f>SUM(D168:D169)</f>
        <v>71615925</v>
      </c>
      <c r="E170" s="114">
        <f>SUM(E168:E169)</f>
        <v>95896697.400000021</v>
      </c>
      <c r="F170" s="490">
        <f t="shared" ref="F170:G170" si="53">SUM(F168:F169)</f>
        <v>2431846.08</v>
      </c>
      <c r="G170" s="468">
        <f t="shared" si="53"/>
        <v>93464851.320000023</v>
      </c>
      <c r="H170" s="113">
        <f>SUM(H168:H169)</f>
        <v>99236957.140000015</v>
      </c>
      <c r="I170" s="113">
        <f>SUM(I168:I169)</f>
        <v>103668217.85400003</v>
      </c>
    </row>
    <row r="171" spans="1:9" ht="30">
      <c r="A171" s="127" t="str">
        <f>BREAKDOWN!A1384</f>
        <v>051700100100</v>
      </c>
      <c r="B171" s="121" t="str">
        <f>BREAKDOWN!B1384</f>
        <v>MINISTRY OF EDUCATION, SCIENCE AND TECHNOLOGY</v>
      </c>
      <c r="C171" s="3" t="str">
        <f>BREAKDOWN!C1397</f>
        <v>Personnel Cost -Total</v>
      </c>
      <c r="D171" s="124">
        <v>10660221767</v>
      </c>
      <c r="E171" s="28">
        <f>BREAKDOWN!J1397</f>
        <v>8267757623.7600002</v>
      </c>
      <c r="F171" s="488">
        <f>BREAKDOWN!K1397</f>
        <v>0</v>
      </c>
      <c r="G171" s="469">
        <f>BREAKDOWN!L1397</f>
        <v>8267757623.7600002</v>
      </c>
      <c r="H171" s="4">
        <f>BREAKDOWN!M1397</f>
        <v>9784558295.3359985</v>
      </c>
      <c r="I171" s="4">
        <f>BREAKDOWN!N1397</f>
        <v>10763014124.869602</v>
      </c>
    </row>
    <row r="172" spans="1:9">
      <c r="A172" s="127"/>
      <c r="B172" s="121"/>
      <c r="C172" s="3" t="str">
        <f>BREAKDOWN!C1426</f>
        <v>Overhead Cost -Total</v>
      </c>
      <c r="D172" s="124">
        <v>1438443000</v>
      </c>
      <c r="E172" s="28">
        <f>BREAKDOWN!J1426</f>
        <v>1196924760</v>
      </c>
      <c r="F172" s="488">
        <f>BREAKDOWN!K1426</f>
        <v>52425304.487999998</v>
      </c>
      <c r="G172" s="469">
        <f>BREAKDOWN!L1426</f>
        <v>1144499455.5120001</v>
      </c>
      <c r="H172" s="4">
        <f>BREAKDOWN!M1426</f>
        <v>1455135528</v>
      </c>
      <c r="I172" s="4">
        <f>BREAKDOWN!N1426</f>
        <v>1463885528</v>
      </c>
    </row>
    <row r="173" spans="1:9" s="9" customFormat="1" ht="30">
      <c r="A173" s="128"/>
      <c r="B173" s="103" t="str">
        <f>BREAKDOWN!B1427</f>
        <v>MINISTRY OF EDUCATION, SCIENCE AND TECHNOLOGY -TOTAL</v>
      </c>
      <c r="C173" s="5"/>
      <c r="D173" s="104">
        <f>SUM(D171:D172)</f>
        <v>12098664767</v>
      </c>
      <c r="E173" s="114">
        <f>SUM(E171:E172)</f>
        <v>9464682383.7600002</v>
      </c>
      <c r="F173" s="490">
        <f t="shared" ref="F173:G173" si="54">SUM(F171:F172)</f>
        <v>52425304.487999998</v>
      </c>
      <c r="G173" s="468">
        <f t="shared" si="54"/>
        <v>9412257079.2719994</v>
      </c>
      <c r="H173" s="113">
        <f>SUM(H171:H172)</f>
        <v>11239693823.335999</v>
      </c>
      <c r="I173" s="113">
        <f>SUM(I171:I172)</f>
        <v>12226899652.869602</v>
      </c>
    </row>
    <row r="174" spans="1:9">
      <c r="A174" s="127" t="str">
        <f>BREAKDOWN!A1429</f>
        <v>051700300100</v>
      </c>
      <c r="B174" s="121" t="str">
        <f>BREAKDOWN!B1429</f>
        <v>STATE UNIVERSAL BASIC EDUCATION BOARD</v>
      </c>
      <c r="C174" s="3" t="str">
        <f>BREAKDOWN!C1439</f>
        <v>Personnel Cost -Total</v>
      </c>
      <c r="D174" s="124">
        <v>0</v>
      </c>
      <c r="E174" s="28">
        <f>BREAKDOWN!J1439</f>
        <v>142323855.01999998</v>
      </c>
      <c r="F174" s="488">
        <f>BREAKDOWN!K1439</f>
        <v>0</v>
      </c>
      <c r="G174" s="469">
        <f>BREAKDOWN!L1439</f>
        <v>142323855.01999998</v>
      </c>
      <c r="H174" s="4">
        <f>BREAKDOWN!M1439</f>
        <v>58757300.999999993</v>
      </c>
      <c r="I174" s="4">
        <f>BREAKDOWN!N1439</f>
        <v>64633031.099999994</v>
      </c>
    </row>
    <row r="175" spans="1:9">
      <c r="A175" s="127"/>
      <c r="B175" s="121"/>
      <c r="C175" s="3" t="str">
        <f>BREAKDOWN!C1457</f>
        <v>Overhead Cost -Total</v>
      </c>
      <c r="D175" s="124">
        <v>129736164</v>
      </c>
      <c r="E175" s="28">
        <f>BREAKDOWN!J1457</f>
        <v>114753137</v>
      </c>
      <c r="F175" s="488">
        <f>BREAKDOWN!K1457</f>
        <v>5026187.4006000003</v>
      </c>
      <c r="G175" s="469">
        <f>BREAKDOWN!L1457</f>
        <v>109726949.5994</v>
      </c>
      <c r="H175" s="4">
        <f>BREAKDOWN!M1457</f>
        <v>104104987</v>
      </c>
      <c r="I175" s="4">
        <f>BREAKDOWN!N1457</f>
        <v>104104987</v>
      </c>
    </row>
    <row r="176" spans="1:9" s="9" customFormat="1" ht="30">
      <c r="A176" s="128"/>
      <c r="B176" s="103" t="str">
        <f>BREAKDOWN!B1458</f>
        <v>STATE UNIVERSAL BASIC EDUCATION BOARD -TOTAL</v>
      </c>
      <c r="C176" s="5"/>
      <c r="D176" s="104">
        <f>SUM(D175)</f>
        <v>129736164</v>
      </c>
      <c r="E176" s="114">
        <f>SUM(E174:E175)</f>
        <v>257076992.01999998</v>
      </c>
      <c r="F176" s="490">
        <f t="shared" ref="F176:G176" si="55">SUM(F174:F175)</f>
        <v>5026187.4006000003</v>
      </c>
      <c r="G176" s="468">
        <f t="shared" si="55"/>
        <v>252050804.61939996</v>
      </c>
      <c r="H176" s="113">
        <f>SUM(H174:H175)</f>
        <v>162862288</v>
      </c>
      <c r="I176" s="113">
        <f>SUM(I174:I175)</f>
        <v>168738018.09999999</v>
      </c>
    </row>
    <row r="177" spans="1:9">
      <c r="A177" s="127" t="str">
        <f>BREAKDOWN!A1460</f>
        <v>051700800100</v>
      </c>
      <c r="B177" s="121" t="str">
        <f>BREAKDOWN!B1460</f>
        <v>KADUNA STATE LIBRARY BOARD</v>
      </c>
      <c r="C177" s="3" t="str">
        <f>BREAKDOWN!C1461</f>
        <v>Personnel Cost- Total</v>
      </c>
      <c r="D177" s="124">
        <v>42961606</v>
      </c>
      <c r="E177" s="28">
        <f>BREAKDOWN!J1461</f>
        <v>40872620</v>
      </c>
      <c r="F177" s="488">
        <f>BREAKDOWN!K1461</f>
        <v>0</v>
      </c>
      <c r="G177" s="469">
        <f>BREAKDOWN!L1461</f>
        <v>40872620</v>
      </c>
      <c r="H177" s="4">
        <f>BREAKDOWN!M1461</f>
        <v>44959882</v>
      </c>
      <c r="I177" s="4">
        <f>BREAKDOWN!N1461</f>
        <v>49455870.200000003</v>
      </c>
    </row>
    <row r="178" spans="1:9">
      <c r="A178" s="127"/>
      <c r="B178" s="121"/>
      <c r="C178" s="3" t="str">
        <f>BREAKDOWN!C1478</f>
        <v>Overhead Cost- Total</v>
      </c>
      <c r="D178" s="124">
        <v>4182000</v>
      </c>
      <c r="E178" s="28">
        <f>BREAKDOWN!J1478</f>
        <v>4009655</v>
      </c>
      <c r="F178" s="488">
        <f>BREAKDOWN!K1478</f>
        <v>175622.889</v>
      </c>
      <c r="G178" s="469">
        <f>BREAKDOWN!L1478</f>
        <v>3834032.111</v>
      </c>
      <c r="H178" s="4">
        <f>BREAKDOWN!M1478</f>
        <v>3007755</v>
      </c>
      <c r="I178" s="4">
        <f>BREAKDOWN!N1478</f>
        <v>3899855</v>
      </c>
    </row>
    <row r="179" spans="1:9" s="9" customFormat="1">
      <c r="A179" s="128"/>
      <c r="B179" s="103" t="str">
        <f>BREAKDOWN!B1479</f>
        <v>KADUNA STATE LIBRARY BOARD- TOTAL</v>
      </c>
      <c r="C179" s="5"/>
      <c r="D179" s="104">
        <f>SUM(D177:D178)</f>
        <v>47143606</v>
      </c>
      <c r="E179" s="114">
        <f>SUM(E177:E178)</f>
        <v>44882275</v>
      </c>
      <c r="F179" s="490">
        <f t="shared" ref="F179:G179" si="56">SUM(F177:F178)</f>
        <v>175622.889</v>
      </c>
      <c r="G179" s="468">
        <f t="shared" si="56"/>
        <v>44706652.111000001</v>
      </c>
      <c r="H179" s="113">
        <f>SUM(H177:H178)</f>
        <v>47967637</v>
      </c>
      <c r="I179" s="113">
        <f>SUM(I177:I178)</f>
        <v>53355725.200000003</v>
      </c>
    </row>
    <row r="180" spans="1:9">
      <c r="A180" s="127" t="str">
        <f>BREAKDOWN!A1481</f>
        <v>051701000100</v>
      </c>
      <c r="B180" s="121" t="str">
        <f>BREAKDOWN!B1481</f>
        <v>KADUNA STATE AGENCY FOR MASS LITERACY</v>
      </c>
      <c r="C180" s="3" t="str">
        <f>BREAKDOWN!C1482</f>
        <v>Personnel Cost -Total</v>
      </c>
      <c r="D180" s="124">
        <v>79746128</v>
      </c>
      <c r="E180" s="28">
        <f>BREAKDOWN!J1482</f>
        <v>97514060.311999992</v>
      </c>
      <c r="F180" s="488">
        <f>BREAKDOWN!K1482</f>
        <v>0</v>
      </c>
      <c r="G180" s="469">
        <f>BREAKDOWN!L1482</f>
        <v>97514060.311999992</v>
      </c>
      <c r="H180" s="4">
        <f>BREAKDOWN!M1482</f>
        <v>107265466.3432</v>
      </c>
      <c r="I180" s="4">
        <f>BREAKDOWN!N1482</f>
        <v>117992012.97752</v>
      </c>
    </row>
    <row r="181" spans="1:9">
      <c r="A181" s="127"/>
      <c r="B181" s="121"/>
      <c r="C181" s="3" t="str">
        <f>BREAKDOWN!C1499</f>
        <v>Overhead Cost -Total</v>
      </c>
      <c r="D181" s="124">
        <v>7439000</v>
      </c>
      <c r="E181" s="28">
        <f>BREAKDOWN!J1499</f>
        <v>7307031</v>
      </c>
      <c r="F181" s="488">
        <f>BREAKDOWN!K1499</f>
        <v>320047.95779999997</v>
      </c>
      <c r="G181" s="469">
        <f>BREAKDOWN!L1499</f>
        <v>6986983.042200001</v>
      </c>
      <c r="H181" s="4">
        <f>BREAKDOWN!M1499</f>
        <v>6789031</v>
      </c>
      <c r="I181" s="4">
        <f>BREAKDOWN!N1499</f>
        <v>6791231</v>
      </c>
    </row>
    <row r="182" spans="1:9" s="9" customFormat="1" ht="30">
      <c r="A182" s="128"/>
      <c r="B182" s="103" t="str">
        <f>BREAKDOWN!B1500</f>
        <v>KADUNA STATE AGENCY FOR MASS LITERACY -TOTAL</v>
      </c>
      <c r="C182" s="5"/>
      <c r="D182" s="104">
        <f>SUM(D180:D181)</f>
        <v>87185128</v>
      </c>
      <c r="E182" s="114">
        <f>SUM(E180:E181)</f>
        <v>104821091.31199999</v>
      </c>
      <c r="F182" s="490">
        <f t="shared" ref="F182:G182" si="57">SUM(F180:F181)</f>
        <v>320047.95779999997</v>
      </c>
      <c r="G182" s="468">
        <f t="shared" si="57"/>
        <v>104501043.35419999</v>
      </c>
      <c r="H182" s="113">
        <f>SUM(H180:H181)</f>
        <v>114054497.3432</v>
      </c>
      <c r="I182" s="113">
        <f>SUM(I180:I181)</f>
        <v>124783243.97752</v>
      </c>
    </row>
    <row r="183" spans="1:9">
      <c r="A183" s="127" t="str">
        <f>BREAKDOWN!A1502</f>
        <v>051701800100</v>
      </c>
      <c r="B183" s="121" t="str">
        <f>BREAKDOWN!B1502</f>
        <v>NUHU BAMALLI POLYTECHNIC, ZARIA</v>
      </c>
      <c r="C183" s="3" t="str">
        <f>BREAKDOWN!C1503</f>
        <v>Personnel Cost- Total</v>
      </c>
      <c r="D183" s="124">
        <v>1409227326</v>
      </c>
      <c r="E183" s="28">
        <f>BREAKDOWN!J1503</f>
        <v>1379834483.8399997</v>
      </c>
      <c r="F183" s="488">
        <f>BREAKDOWN!K1503</f>
        <v>0</v>
      </c>
      <c r="G183" s="469">
        <f>BREAKDOWN!L1503</f>
        <v>1379834483.8399997</v>
      </c>
      <c r="H183" s="4">
        <f>BREAKDOWN!M1503</f>
        <v>1517817932.2239997</v>
      </c>
      <c r="I183" s="4">
        <f>BREAKDOWN!N1503</f>
        <v>1669599725.4463997</v>
      </c>
    </row>
    <row r="184" spans="1:9">
      <c r="A184" s="127"/>
      <c r="B184" s="121"/>
      <c r="C184" s="3" t="str">
        <f>BREAKDOWN!C1545</f>
        <v>Overhead Cost -Total</v>
      </c>
      <c r="D184" s="124">
        <v>472760131</v>
      </c>
      <c r="E184" s="28">
        <f>BREAKDOWN!J1545</f>
        <v>458073609.12199998</v>
      </c>
      <c r="F184" s="488">
        <f>BREAKDOWN!K1545</f>
        <v>20063624.079543598</v>
      </c>
      <c r="G184" s="469">
        <f>BREAKDOWN!L1545</f>
        <v>438009985.04245639</v>
      </c>
      <c r="H184" s="4">
        <f>BREAKDOWN!M1545</f>
        <v>516125609.12199998</v>
      </c>
      <c r="I184" s="4">
        <f>BREAKDOWN!N1545</f>
        <v>516125609.12199998</v>
      </c>
    </row>
    <row r="185" spans="1:9" s="9" customFormat="1">
      <c r="A185" s="128"/>
      <c r="B185" s="103" t="str">
        <f>BREAKDOWN!B1546</f>
        <v>NUHU BAMALLI POLYTECHNIC, ZARIA -TOTAL</v>
      </c>
      <c r="C185" s="5"/>
      <c r="D185" s="104">
        <f>SUM(D183:D184)</f>
        <v>1881987457</v>
      </c>
      <c r="E185" s="114">
        <f>SUM(E183:E184)</f>
        <v>1837908092.9619997</v>
      </c>
      <c r="F185" s="490">
        <f t="shared" ref="F185:G185" si="58">SUM(F183:F184)</f>
        <v>20063624.079543598</v>
      </c>
      <c r="G185" s="468">
        <f t="shared" si="58"/>
        <v>1817844468.8824561</v>
      </c>
      <c r="H185" s="113">
        <f>SUM(H183:H184)</f>
        <v>2033943541.3459997</v>
      </c>
      <c r="I185" s="113">
        <f>SUM(I183:I184)</f>
        <v>2185725334.5683994</v>
      </c>
    </row>
    <row r="186" spans="1:9">
      <c r="A186" s="127" t="str">
        <f>BREAKDOWN!A1548</f>
        <v>051701900100</v>
      </c>
      <c r="B186" s="121" t="str">
        <f>BREAKDOWN!B1548</f>
        <v xml:space="preserve">COLLEGE OF EDUCATION,GIDAN WAYA  </v>
      </c>
      <c r="C186" s="3" t="str">
        <f>BREAKDOWN!C1549</f>
        <v>Personnel Cost -Total</v>
      </c>
      <c r="D186" s="124">
        <v>1300004667</v>
      </c>
      <c r="E186" s="28">
        <f>BREAKDOWN!J1549</f>
        <v>1464425377.5600002</v>
      </c>
      <c r="F186" s="488">
        <f>BREAKDOWN!K1549</f>
        <v>0</v>
      </c>
      <c r="G186" s="469">
        <f>BREAKDOWN!L1549</f>
        <v>1464425377.5600002</v>
      </c>
      <c r="H186" s="4">
        <f>BREAKDOWN!M1549</f>
        <v>1432161668.9160001</v>
      </c>
      <c r="I186" s="4">
        <f>BREAKDOWN!N1549</f>
        <v>1575377835.8076</v>
      </c>
    </row>
    <row r="187" spans="1:9">
      <c r="A187" s="127"/>
      <c r="B187" s="121"/>
      <c r="C187" s="3" t="str">
        <f>BREAKDOWN!C1612</f>
        <v>Overhead Cost- Total</v>
      </c>
      <c r="D187" s="124">
        <v>218239250</v>
      </c>
      <c r="E187" s="28">
        <f>BREAKDOWN!J1612</f>
        <v>268636250</v>
      </c>
      <c r="F187" s="488">
        <f>BREAKDOWN!K1612</f>
        <v>11766267.75</v>
      </c>
      <c r="G187" s="469">
        <f>BREAKDOWN!L1612</f>
        <v>256869982.25000003</v>
      </c>
      <c r="H187" s="4">
        <f>BREAKDOWN!M1612</f>
        <v>344532550</v>
      </c>
      <c r="I187" s="4">
        <f>BREAKDOWN!N1612</f>
        <v>378638300</v>
      </c>
    </row>
    <row r="188" spans="1:9" s="9" customFormat="1">
      <c r="A188" s="128"/>
      <c r="B188" s="103" t="str">
        <f>BREAKDOWN!B1613</f>
        <v>COLLEGE OF EDUCATION,GIDAN WAYA  -TOTAL</v>
      </c>
      <c r="C188" s="5"/>
      <c r="D188" s="104">
        <f>SUM(D186:D187)</f>
        <v>1518243917</v>
      </c>
      <c r="E188" s="114">
        <f>SUM(E186:E187)</f>
        <v>1733061627.5600002</v>
      </c>
      <c r="F188" s="490">
        <f t="shared" ref="F188:G188" si="59">SUM(F186:F187)</f>
        <v>11766267.75</v>
      </c>
      <c r="G188" s="468">
        <f t="shared" si="59"/>
        <v>1721295359.8100002</v>
      </c>
      <c r="H188" s="113">
        <f>SUM(H186:H187)</f>
        <v>1776694218.9160001</v>
      </c>
      <c r="I188" s="113">
        <f>SUM(I186:I187)</f>
        <v>1954016135.8076</v>
      </c>
    </row>
    <row r="189" spans="1:9">
      <c r="A189" s="127" t="str">
        <f>BREAKDOWN!A1615</f>
        <v>051702100100</v>
      </c>
      <c r="B189" s="121" t="str">
        <f>BREAKDOWN!B1615</f>
        <v>KADUNA STATE UNIVERSITY</v>
      </c>
      <c r="C189" s="3" t="str">
        <f>BREAKDOWN!C1616</f>
        <v>Personnel Cost- Total</v>
      </c>
      <c r="D189" s="124">
        <v>2875460170</v>
      </c>
      <c r="E189" s="28">
        <f>BREAKDOWN!J1616</f>
        <v>2865101309.2399998</v>
      </c>
      <c r="F189" s="488">
        <f>BREAKDOWN!K1616</f>
        <v>0</v>
      </c>
      <c r="G189" s="469">
        <f>BREAKDOWN!L1616</f>
        <v>2865101309.2399998</v>
      </c>
      <c r="H189" s="4">
        <f>BREAKDOWN!M1616</f>
        <v>2871753349.5639997</v>
      </c>
      <c r="I189" s="4">
        <f>BREAKDOWN!N1616</f>
        <v>3158928684.5203996</v>
      </c>
    </row>
    <row r="190" spans="1:9">
      <c r="A190" s="127"/>
      <c r="B190" s="121"/>
      <c r="C190" s="3" t="str">
        <f>BREAKDOWN!C1665</f>
        <v>Overhead Cost -Total</v>
      </c>
      <c r="D190" s="124">
        <v>474665000</v>
      </c>
      <c r="E190" s="28">
        <f>BREAKDOWN!J1665</f>
        <v>572230900</v>
      </c>
      <c r="F190" s="488">
        <f>BREAKDOWN!K1665</f>
        <v>25063713.419999998</v>
      </c>
      <c r="G190" s="469">
        <f>BREAKDOWN!L1665</f>
        <v>547167186.58000004</v>
      </c>
      <c r="H190" s="4">
        <f>BREAKDOWN!M1665</f>
        <v>785793400</v>
      </c>
      <c r="I190" s="4">
        <f>BREAKDOWN!N1665</f>
        <v>789533400</v>
      </c>
    </row>
    <row r="191" spans="1:9" s="9" customFormat="1">
      <c r="A191" s="128"/>
      <c r="B191" s="103" t="str">
        <f>BREAKDOWN!B1666</f>
        <v>KADUNA STATE UNIVERSITY -TOTAL</v>
      </c>
      <c r="C191" s="5"/>
      <c r="D191" s="104">
        <f>SUM(D189:D190)</f>
        <v>3350125170</v>
      </c>
      <c r="E191" s="114">
        <f>SUM(E189:E190)</f>
        <v>3437332209.2399998</v>
      </c>
      <c r="F191" s="490">
        <f t="shared" ref="F191:G191" si="60">SUM(F189:F190)</f>
        <v>25063713.419999998</v>
      </c>
      <c r="G191" s="468">
        <f t="shared" si="60"/>
        <v>3412268495.8199997</v>
      </c>
      <c r="H191" s="113">
        <f>SUM(H189:H190)</f>
        <v>3657546749.5639997</v>
      </c>
      <c r="I191" s="113">
        <f>SUM(I189:I190)</f>
        <v>3948462084.5203996</v>
      </c>
    </row>
    <row r="192" spans="1:9">
      <c r="A192" s="127" t="str">
        <f>BREAKDOWN!A1668</f>
        <v>051702600100</v>
      </c>
      <c r="B192" s="121" t="str">
        <f>BREAKDOWN!B1668</f>
        <v>KADUNA CAPITAL SCHOOL</v>
      </c>
      <c r="C192" s="3" t="str">
        <f>BREAKDOWN!C1669</f>
        <v>Personnel Cost -Total</v>
      </c>
      <c r="D192" s="124">
        <v>105200299</v>
      </c>
      <c r="E192" s="28">
        <f>BREAKDOWN!J1669</f>
        <v>130533072.33888727</v>
      </c>
      <c r="F192" s="488">
        <f>BREAKDOWN!K1669</f>
        <v>0</v>
      </c>
      <c r="G192" s="469">
        <f>BREAKDOWN!L1669</f>
        <v>130533072.33888727</v>
      </c>
      <c r="H192" s="4">
        <f>BREAKDOWN!M1669</f>
        <v>143586379.57277599</v>
      </c>
      <c r="I192" s="4">
        <f>BREAKDOWN!N1669</f>
        <v>157945017.53005359</v>
      </c>
    </row>
    <row r="193" spans="1:9">
      <c r="A193" s="127"/>
      <c r="B193" s="121"/>
      <c r="C193" s="3" t="str">
        <f>BREAKDOWN!C1697</f>
        <v>Overhead Cost -Total</v>
      </c>
      <c r="D193" s="124">
        <v>31006000</v>
      </c>
      <c r="E193" s="28">
        <f>BREAKDOWN!J1697</f>
        <v>32257000</v>
      </c>
      <c r="F193" s="488">
        <f>BREAKDOWN!K1697</f>
        <v>1412856.5999999999</v>
      </c>
      <c r="G193" s="469">
        <f>BREAKDOWN!L1697</f>
        <v>30844143.399999995</v>
      </c>
      <c r="H193" s="4">
        <f>BREAKDOWN!M1697</f>
        <v>37426000</v>
      </c>
      <c r="I193" s="4">
        <f>BREAKDOWN!N1697</f>
        <v>37646000</v>
      </c>
    </row>
    <row r="194" spans="1:9" s="9" customFormat="1">
      <c r="A194" s="128"/>
      <c r="B194" s="103" t="str">
        <f>BREAKDOWN!B1698</f>
        <v>KADUNA CAPITAL SCHOOL- TOTAL</v>
      </c>
      <c r="C194" s="5"/>
      <c r="D194" s="104">
        <f>SUM(D192:D193)</f>
        <v>136206299</v>
      </c>
      <c r="E194" s="114">
        <f>SUM(E192:E193)</f>
        <v>162790072.33888727</v>
      </c>
      <c r="F194" s="490">
        <f t="shared" ref="F194:G194" si="61">SUM(F192:F193)</f>
        <v>1412856.5999999999</v>
      </c>
      <c r="G194" s="468">
        <f t="shared" si="61"/>
        <v>161377215.73888728</v>
      </c>
      <c r="H194" s="113">
        <f>SUM(H192:H193)</f>
        <v>181012379.57277599</v>
      </c>
      <c r="I194" s="113">
        <f>SUM(I192:I193)</f>
        <v>195591017.53005359</v>
      </c>
    </row>
    <row r="195" spans="1:9">
      <c r="A195" s="127" t="str">
        <f>BREAKDOWN!A1700</f>
        <v>051702600200</v>
      </c>
      <c r="B195" s="121" t="str">
        <f>BREAKDOWN!B1700</f>
        <v>BAREWA COLLEGE ZARIA</v>
      </c>
      <c r="C195" s="3" t="str">
        <f>BREAKDOWN!C1712</f>
        <v>Personnel Cost -Total</v>
      </c>
      <c r="D195" s="124">
        <v>61692799</v>
      </c>
      <c r="E195" s="28">
        <f>BREAKDOWN!J1712</f>
        <v>79493619.260123253</v>
      </c>
      <c r="F195" s="488">
        <f>BREAKDOWN!K1712</f>
        <v>0</v>
      </c>
      <c r="G195" s="469">
        <f>BREAKDOWN!L1712</f>
        <v>79493619.260123253</v>
      </c>
      <c r="H195" s="4">
        <f>BREAKDOWN!M1712</f>
        <v>87442981.186135605</v>
      </c>
      <c r="I195" s="4">
        <f>BREAKDOWN!N1712</f>
        <v>96187279.304749176</v>
      </c>
    </row>
    <row r="196" spans="1:9">
      <c r="A196" s="127"/>
      <c r="B196" s="121"/>
      <c r="C196" s="3" t="str">
        <f>BREAKDOWN!C1733</f>
        <v>Overhead Cost- Total</v>
      </c>
      <c r="D196" s="124">
        <v>36050000</v>
      </c>
      <c r="E196" s="28">
        <f>BREAKDOWN!J1733</f>
        <v>4529800</v>
      </c>
      <c r="F196" s="488">
        <f>BREAKDOWN!K1733</f>
        <v>198405.24</v>
      </c>
      <c r="G196" s="469">
        <f>BREAKDOWN!L1733</f>
        <v>4331394.76</v>
      </c>
      <c r="H196" s="4">
        <f>BREAKDOWN!M1733</f>
        <v>5349800</v>
      </c>
      <c r="I196" s="4">
        <f>BREAKDOWN!N1733</f>
        <v>5349800</v>
      </c>
    </row>
    <row r="197" spans="1:9" s="9" customFormat="1">
      <c r="A197" s="128"/>
      <c r="B197" s="103" t="str">
        <f>BREAKDOWN!B1734</f>
        <v>BAREWA COLLEGE ZARIA- TOTAL</v>
      </c>
      <c r="C197" s="5"/>
      <c r="D197" s="104">
        <f>SUM(D195:D196)</f>
        <v>97742799</v>
      </c>
      <c r="E197" s="114">
        <f>SUM(E195:E196)</f>
        <v>84023419.260123253</v>
      </c>
      <c r="F197" s="490">
        <f t="shared" ref="F197:G197" si="62">SUM(F195:F196)</f>
        <v>198405.24</v>
      </c>
      <c r="G197" s="468">
        <f t="shared" si="62"/>
        <v>83825014.020123258</v>
      </c>
      <c r="H197" s="113">
        <f>SUM(H195:H196)</f>
        <v>92792781.186135605</v>
      </c>
      <c r="I197" s="113">
        <f>SUM(I195:I196)</f>
        <v>101537079.30474918</v>
      </c>
    </row>
    <row r="198" spans="1:9">
      <c r="A198" s="127" t="str">
        <f>BREAKDOWN!A1736</f>
        <v>051702600300</v>
      </c>
      <c r="B198" s="121" t="str">
        <f>BREAKDOWN!B1736</f>
        <v>ALHUDAHUDA COLLEGE, ZARIA</v>
      </c>
      <c r="C198" s="3" t="str">
        <f>BREAKDOWN!C1737</f>
        <v>Personnel Cost -Total</v>
      </c>
      <c r="D198" s="124">
        <v>91999972</v>
      </c>
      <c r="E198" s="28">
        <f>BREAKDOWN!J1737</f>
        <v>40373954.99999997</v>
      </c>
      <c r="F198" s="488">
        <f>BREAKDOWN!K1737</f>
        <v>0</v>
      </c>
      <c r="G198" s="469">
        <f>BREAKDOWN!L1737</f>
        <v>40373954.99999997</v>
      </c>
      <c r="H198" s="4">
        <f>BREAKDOWN!M1737</f>
        <v>44411350.49999997</v>
      </c>
      <c r="I198" s="4">
        <f>BREAKDOWN!N1737</f>
        <v>48852485.549999967</v>
      </c>
    </row>
    <row r="199" spans="1:9">
      <c r="A199" s="127"/>
      <c r="B199" s="121"/>
      <c r="C199" s="3" t="str">
        <f>BREAKDOWN!C1752</f>
        <v>Overhead Cost -Total</v>
      </c>
      <c r="D199" s="124">
        <v>7503800</v>
      </c>
      <c r="E199" s="28">
        <f>BREAKDOWN!J1752</f>
        <v>3848000</v>
      </c>
      <c r="F199" s="488">
        <f>BREAKDOWN!K1752</f>
        <v>168542.4</v>
      </c>
      <c r="G199" s="469">
        <f>BREAKDOWN!L1752</f>
        <v>3679457.5999999996</v>
      </c>
      <c r="H199" s="4">
        <f>BREAKDOWN!M1752</f>
        <v>3693000</v>
      </c>
      <c r="I199" s="4">
        <f>BREAKDOWN!N1752</f>
        <v>3693000</v>
      </c>
    </row>
    <row r="200" spans="1:9" s="9" customFormat="1">
      <c r="A200" s="128"/>
      <c r="B200" s="103" t="str">
        <f>BREAKDOWN!B1753</f>
        <v>ALHUDAHUDA COLLEGE, ZARIA- TOTAL</v>
      </c>
      <c r="C200" s="5"/>
      <c r="D200" s="104">
        <f>SUM(D198:D199)</f>
        <v>99503772</v>
      </c>
      <c r="E200" s="114">
        <f>SUM(E198:E199)</f>
        <v>44221954.99999997</v>
      </c>
      <c r="F200" s="490">
        <f t="shared" ref="F200:G200" si="63">SUM(F198:F199)</f>
        <v>168542.4</v>
      </c>
      <c r="G200" s="468">
        <f t="shared" si="63"/>
        <v>44053412.599999972</v>
      </c>
      <c r="H200" s="113">
        <f>SUM(H198:H199)</f>
        <v>48104350.49999997</v>
      </c>
      <c r="I200" s="113">
        <f>SUM(I198:I199)</f>
        <v>52545485.549999967</v>
      </c>
    </row>
    <row r="201" spans="1:9">
      <c r="A201" s="127" t="str">
        <f>BREAKDOWN!A1755</f>
        <v>051702600400</v>
      </c>
      <c r="B201" s="121" t="str">
        <f>BREAKDOWN!B1755</f>
        <v>SARDAUNA MEMORIAL COLLEGE, KADUNA</v>
      </c>
      <c r="C201" s="3" t="str">
        <f>BREAKDOWN!C1756</f>
        <v>Personnel Cost -Total</v>
      </c>
      <c r="D201" s="124">
        <v>75586552</v>
      </c>
      <c r="E201" s="28">
        <f>BREAKDOWN!J1756</f>
        <v>72470232.032999963</v>
      </c>
      <c r="F201" s="488">
        <f>BREAKDOWN!K1756</f>
        <v>0</v>
      </c>
      <c r="G201" s="469">
        <f>BREAKDOWN!L1756</f>
        <v>72470232.032999963</v>
      </c>
      <c r="H201" s="4">
        <f>BREAKDOWN!M1756</f>
        <v>79717255.236299962</v>
      </c>
      <c r="I201" s="4">
        <f>BREAKDOWN!N1756</f>
        <v>87688980.759929955</v>
      </c>
    </row>
    <row r="202" spans="1:9">
      <c r="A202" s="127"/>
      <c r="B202" s="121"/>
      <c r="C202" s="3" t="str">
        <f>BREAKDOWN!C1782</f>
        <v>Overhead Cost -Total</v>
      </c>
      <c r="D202" s="124">
        <v>4205550</v>
      </c>
      <c r="E202" s="28">
        <f>BREAKDOWN!J1782</f>
        <v>3828970</v>
      </c>
      <c r="F202" s="488">
        <f>BREAKDOWN!K1782</f>
        <v>167708.886</v>
      </c>
      <c r="G202" s="469">
        <f>BREAKDOWN!L1782</f>
        <v>3661261.1140000001</v>
      </c>
      <c r="H202" s="4">
        <f>BREAKDOWN!M1782</f>
        <v>4989470</v>
      </c>
      <c r="I202" s="4">
        <f>BREAKDOWN!N1782</f>
        <v>4989470</v>
      </c>
    </row>
    <row r="203" spans="1:9" s="9" customFormat="1">
      <c r="A203" s="128"/>
      <c r="B203" s="103" t="str">
        <f>BREAKDOWN!B1783</f>
        <v>SARDAUNA MEMORIAL COLLEGE, KADUNA- TOTAL</v>
      </c>
      <c r="C203" s="5"/>
      <c r="D203" s="104">
        <f>SUM(D201:D202)</f>
        <v>79792102</v>
      </c>
      <c r="E203" s="114">
        <f>SUM(E201:E202)</f>
        <v>76299202.032999963</v>
      </c>
      <c r="F203" s="490">
        <f t="shared" ref="F203:G203" si="64">SUM(F201:F202)</f>
        <v>167708.886</v>
      </c>
      <c r="G203" s="468">
        <f t="shared" si="64"/>
        <v>76131493.146999955</v>
      </c>
      <c r="H203" s="113">
        <f>SUM(H201:H202)</f>
        <v>84706725.236299962</v>
      </c>
      <c r="I203" s="113">
        <f>SUM(I201:I202)</f>
        <v>92678450.759929955</v>
      </c>
    </row>
    <row r="204" spans="1:9">
      <c r="A204" s="127" t="str">
        <f>BREAKDOWN!A1785</f>
        <v>051702600500</v>
      </c>
      <c r="B204" s="121" t="str">
        <f>BREAKDOWN!B1785</f>
        <v>GOVERNMENT COLLEGE, KADUNA</v>
      </c>
      <c r="C204" s="3" t="str">
        <f>BREAKDOWN!C1786</f>
        <v>Personnel Cost- Total</v>
      </c>
      <c r="D204" s="124">
        <v>71001218</v>
      </c>
      <c r="E204" s="28">
        <f>BREAKDOWN!J1786</f>
        <v>79247106.370000005</v>
      </c>
      <c r="F204" s="488">
        <f>BREAKDOWN!K1786</f>
        <v>0</v>
      </c>
      <c r="G204" s="469">
        <f>BREAKDOWN!L1786</f>
        <v>79247106.370000005</v>
      </c>
      <c r="H204" s="4">
        <f>BREAKDOWN!M1786</f>
        <v>87171817.006999999</v>
      </c>
      <c r="I204" s="4">
        <f>BREAKDOWN!N1786</f>
        <v>95888998.707699999</v>
      </c>
    </row>
    <row r="205" spans="1:9">
      <c r="A205" s="127"/>
      <c r="B205" s="121"/>
      <c r="C205" s="3" t="str">
        <f>BREAKDOWN!C1802</f>
        <v>Overhead Cost -Total</v>
      </c>
      <c r="D205" s="124">
        <v>7974000</v>
      </c>
      <c r="E205" s="28">
        <f>BREAKDOWN!J1802</f>
        <v>4536400</v>
      </c>
      <c r="F205" s="488">
        <f>BREAKDOWN!K1802</f>
        <v>198694.32</v>
      </c>
      <c r="G205" s="469">
        <f>BREAKDOWN!L1802</f>
        <v>4337705.68</v>
      </c>
      <c r="H205" s="4">
        <f>BREAKDOWN!M1802</f>
        <v>5945900</v>
      </c>
      <c r="I205" s="4">
        <f>BREAKDOWN!N1802</f>
        <v>5945900</v>
      </c>
    </row>
    <row r="206" spans="1:9" s="9" customFormat="1">
      <c r="A206" s="128"/>
      <c r="B206" s="103" t="str">
        <f>BREAKDOWN!B1803</f>
        <v>GOVERNMENT COLLEGE, KADUNA -TOTAL</v>
      </c>
      <c r="C206" s="5"/>
      <c r="D206" s="104">
        <f>SUM(D204:D205)</f>
        <v>78975218</v>
      </c>
      <c r="E206" s="114">
        <f>SUM(E204:E205)</f>
        <v>83783506.370000005</v>
      </c>
      <c r="F206" s="490">
        <f t="shared" ref="F206:G206" si="65">SUM(F204:F205)</f>
        <v>198694.32</v>
      </c>
      <c r="G206" s="468">
        <f t="shared" si="65"/>
        <v>83584812.050000012</v>
      </c>
      <c r="H206" s="113">
        <f>SUM(H204:H205)</f>
        <v>93117717.006999999</v>
      </c>
      <c r="I206" s="113">
        <f>SUM(I204:I205)</f>
        <v>101834898.7077</v>
      </c>
    </row>
    <row r="207" spans="1:9">
      <c r="A207" s="127" t="str">
        <f>BREAKDOWN!A1805</f>
        <v>051702600600</v>
      </c>
      <c r="B207" s="121" t="str">
        <f>BREAKDOWN!B1805</f>
        <v>QUEEN AMINA COLLEGE, KADUNA</v>
      </c>
      <c r="C207" s="3" t="str">
        <f>BREAKDOWN!C1806</f>
        <v>Personnel Cost -Total</v>
      </c>
      <c r="D207" s="124">
        <v>59343566</v>
      </c>
      <c r="E207" s="28">
        <f>BREAKDOWN!J1806</f>
        <v>52698239.759999998</v>
      </c>
      <c r="F207" s="488">
        <f>BREAKDOWN!K1806</f>
        <v>0</v>
      </c>
      <c r="G207" s="469">
        <f>BREAKDOWN!L1806</f>
        <v>52698239.759999998</v>
      </c>
      <c r="H207" s="4">
        <f>BREAKDOWN!M1806</f>
        <v>57968063.736000001</v>
      </c>
      <c r="I207" s="4">
        <f>BREAKDOWN!N1806</f>
        <v>63764870.1096</v>
      </c>
    </row>
    <row r="208" spans="1:9">
      <c r="A208" s="127"/>
      <c r="B208" s="121"/>
      <c r="C208" s="3" t="str">
        <f>BREAKDOWN!C1829</f>
        <v>Overhead Cost- Total</v>
      </c>
      <c r="D208" s="124">
        <v>27025000</v>
      </c>
      <c r="E208" s="28">
        <f>BREAKDOWN!J1829</f>
        <v>2831180</v>
      </c>
      <c r="F208" s="488">
        <f>BREAKDOWN!K1829</f>
        <v>124005.68399999999</v>
      </c>
      <c r="G208" s="469">
        <f>BREAKDOWN!L1829</f>
        <v>2707174.3160000006</v>
      </c>
      <c r="H208" s="4">
        <f>BREAKDOWN!M1829</f>
        <v>2583880</v>
      </c>
      <c r="I208" s="4">
        <f>BREAKDOWN!N1829</f>
        <v>2583880</v>
      </c>
    </row>
    <row r="209" spans="1:9" s="9" customFormat="1">
      <c r="A209" s="128"/>
      <c r="B209" s="103" t="str">
        <f>BREAKDOWN!B1830</f>
        <v>QUEEN AMINA COLLEGE, KADUNA -TOTAL</v>
      </c>
      <c r="C209" s="5"/>
      <c r="D209" s="104">
        <f>SUM(D207:D208)</f>
        <v>86368566</v>
      </c>
      <c r="E209" s="114">
        <f>SUM(E207:E208)</f>
        <v>55529419.759999998</v>
      </c>
      <c r="F209" s="490">
        <f t="shared" ref="F209:G209" si="66">SUM(F207:F208)</f>
        <v>124005.68399999999</v>
      </c>
      <c r="G209" s="468">
        <f t="shared" si="66"/>
        <v>55405414.075999998</v>
      </c>
      <c r="H209" s="113">
        <f>SUM(H207:H208)</f>
        <v>60551943.736000001</v>
      </c>
      <c r="I209" s="113">
        <f>SUM(I207:I208)</f>
        <v>66348750.1096</v>
      </c>
    </row>
    <row r="210" spans="1:9">
      <c r="A210" s="127" t="str">
        <f>BREAKDOWN!A1832</f>
        <v>051702600700</v>
      </c>
      <c r="B210" s="121" t="str">
        <f>BREAKDOWN!B1832</f>
        <v>GOVERNMENT SECONDARY  SCHOOL, KAGORO</v>
      </c>
      <c r="C210" s="3" t="str">
        <f>BREAKDOWN!C1833</f>
        <v>Personnel Cost- Total</v>
      </c>
      <c r="D210" s="124">
        <v>51297429</v>
      </c>
      <c r="E210" s="28">
        <f>BREAKDOWN!J1833</f>
        <v>88094006.165999979</v>
      </c>
      <c r="F210" s="488">
        <f>BREAKDOWN!K1833</f>
        <v>0</v>
      </c>
      <c r="G210" s="469">
        <f>BREAKDOWN!L1833</f>
        <v>88094006.165999979</v>
      </c>
      <c r="H210" s="4">
        <f>BREAKDOWN!M1833</f>
        <v>96903406.782599971</v>
      </c>
      <c r="I210" s="4">
        <f>BREAKDOWN!N1833</f>
        <v>106593747.46085997</v>
      </c>
    </row>
    <row r="211" spans="1:9">
      <c r="A211" s="127"/>
      <c r="B211" s="121"/>
      <c r="C211" s="3" t="str">
        <f>BREAKDOWN!C1847</f>
        <v>Overhead Cost -Total</v>
      </c>
      <c r="D211" s="124">
        <v>6771000</v>
      </c>
      <c r="E211" s="28">
        <f>BREAKDOWN!J1847</f>
        <v>4194104</v>
      </c>
      <c r="F211" s="488">
        <f>BREAKDOWN!K1847</f>
        <v>183701.75519999999</v>
      </c>
      <c r="G211" s="469">
        <f>BREAKDOWN!L1847</f>
        <v>4010402.2448</v>
      </c>
      <c r="H211" s="4">
        <f>BREAKDOWN!M1847</f>
        <v>4278854</v>
      </c>
      <c r="I211" s="4">
        <f>BREAKDOWN!N1847</f>
        <v>4278854</v>
      </c>
    </row>
    <row r="212" spans="1:9" s="9" customFormat="1" ht="30">
      <c r="A212" s="128"/>
      <c r="B212" s="103" t="str">
        <f>BREAKDOWN!B1848</f>
        <v>GOVERNMENT SECONDARY  SCHOOL, KAGORO -TOTAL</v>
      </c>
      <c r="C212" s="5"/>
      <c r="D212" s="104">
        <f>SUM(D210:D211)</f>
        <v>58068429</v>
      </c>
      <c r="E212" s="114">
        <f>SUM(E210:E211)</f>
        <v>92288110.165999979</v>
      </c>
      <c r="F212" s="490">
        <f t="shared" ref="F212:G212" si="67">SUM(F210:F211)</f>
        <v>183701.75519999999</v>
      </c>
      <c r="G212" s="468">
        <f t="shared" si="67"/>
        <v>92104408.41079998</v>
      </c>
      <c r="H212" s="113">
        <f>SUM(H210:H211)</f>
        <v>101182260.78259997</v>
      </c>
      <c r="I212" s="113">
        <f>SUM(I210:I211)</f>
        <v>110872601.46085997</v>
      </c>
    </row>
    <row r="213" spans="1:9">
      <c r="A213" s="127" t="str">
        <f>BREAKDOWN!A1850</f>
        <v>051702600800</v>
      </c>
      <c r="B213" s="121" t="str">
        <f>BREAKDOWN!B1850</f>
        <v>GOVERNMENT SECONDARY SCHOOL, FADAN KAJE</v>
      </c>
      <c r="C213" s="3" t="str">
        <f>BREAKDOWN!C1860</f>
        <v>Personnel Cost- Total</v>
      </c>
      <c r="D213" s="124">
        <v>37488211</v>
      </c>
      <c r="E213" s="28">
        <f>BREAKDOWN!J1860</f>
        <v>41102737.919999994</v>
      </c>
      <c r="F213" s="488">
        <f>BREAKDOWN!K1860</f>
        <v>0</v>
      </c>
      <c r="G213" s="469">
        <f>BREAKDOWN!L1860</f>
        <v>41102737.919999994</v>
      </c>
      <c r="H213" s="4">
        <f>BREAKDOWN!M1860</f>
        <v>45213011.712000005</v>
      </c>
      <c r="I213" s="4">
        <f>BREAKDOWN!N1860</f>
        <v>49734312.883200005</v>
      </c>
    </row>
    <row r="214" spans="1:9">
      <c r="A214" s="127"/>
      <c r="B214" s="121"/>
      <c r="C214" s="3" t="str">
        <f>BREAKDOWN!C1874</f>
        <v>Overhead Cost -Total</v>
      </c>
      <c r="D214" s="124">
        <v>6051000</v>
      </c>
      <c r="E214" s="28">
        <f>BREAKDOWN!J1874</f>
        <v>3230600</v>
      </c>
      <c r="F214" s="488">
        <f>BREAKDOWN!K1874</f>
        <v>141500.28</v>
      </c>
      <c r="G214" s="469">
        <f>BREAKDOWN!L1874</f>
        <v>3089099.7199999997</v>
      </c>
      <c r="H214" s="4">
        <f>BREAKDOWN!M1874</f>
        <v>3254585</v>
      </c>
      <c r="I214" s="4">
        <f>BREAKDOWN!N1874</f>
        <v>3254585</v>
      </c>
    </row>
    <row r="215" spans="1:9" s="9" customFormat="1" ht="30">
      <c r="A215" s="128"/>
      <c r="B215" s="103" t="str">
        <f>BREAKDOWN!B1875</f>
        <v>GOVERNMENT SECONDARY SCHOOL FADAN, KAJE -TOTAL</v>
      </c>
      <c r="C215" s="5"/>
      <c r="D215" s="104">
        <f>SUM(D213:D214)</f>
        <v>43539211</v>
      </c>
      <c r="E215" s="114">
        <f>SUM(E213:E214)</f>
        <v>44333337.919999994</v>
      </c>
      <c r="F215" s="490">
        <f t="shared" ref="F215:G215" si="68">SUM(F213:F214)</f>
        <v>141500.28</v>
      </c>
      <c r="G215" s="468">
        <f t="shared" si="68"/>
        <v>44191837.639999993</v>
      </c>
      <c r="H215" s="113">
        <f>SUM(H213:H214)</f>
        <v>48467596.712000005</v>
      </c>
      <c r="I215" s="113">
        <f>SUM(I213:I214)</f>
        <v>52988897.883200005</v>
      </c>
    </row>
    <row r="216" spans="1:9">
      <c r="A216" s="127" t="str">
        <f>BREAKDOWN!A1877</f>
        <v>051702600900</v>
      </c>
      <c r="B216" s="121" t="str">
        <f>BREAKDOWN!B1877</f>
        <v>RIMI COLLEGE, KADUNA</v>
      </c>
      <c r="C216" s="3" t="str">
        <f>BREAKDOWN!C1878</f>
        <v>Personnel Cost -Total</v>
      </c>
      <c r="D216" s="124">
        <v>75169489</v>
      </c>
      <c r="E216" s="28">
        <f>BREAKDOWN!J1878</f>
        <v>75840756.480000004</v>
      </c>
      <c r="F216" s="488">
        <f>BREAKDOWN!K1878</f>
        <v>0</v>
      </c>
      <c r="G216" s="469">
        <f>BREAKDOWN!L1878</f>
        <v>75840756.480000004</v>
      </c>
      <c r="H216" s="4">
        <f>BREAKDOWN!M1878</f>
        <v>83424832.128000006</v>
      </c>
      <c r="I216" s="4">
        <f>BREAKDOWN!N1878</f>
        <v>91767315.340800002</v>
      </c>
    </row>
    <row r="217" spans="1:9">
      <c r="A217" s="127"/>
      <c r="B217" s="121"/>
      <c r="C217" s="3" t="str">
        <f>BREAKDOWN!C1898</f>
        <v>Overhead Cost -Total</v>
      </c>
      <c r="D217" s="124">
        <v>5487300</v>
      </c>
      <c r="E217" s="28">
        <f>BREAKDOWN!J1898</f>
        <v>4066000</v>
      </c>
      <c r="F217" s="488">
        <f>BREAKDOWN!K1898</f>
        <v>178090.8</v>
      </c>
      <c r="G217" s="469">
        <f>BREAKDOWN!L1898</f>
        <v>3887909.2</v>
      </c>
      <c r="H217" s="4">
        <f>BREAKDOWN!M1898</f>
        <v>8111150</v>
      </c>
      <c r="I217" s="4">
        <f>BREAKDOWN!N1898</f>
        <v>8111150</v>
      </c>
    </row>
    <row r="218" spans="1:9" s="9" customFormat="1">
      <c r="A218" s="128"/>
      <c r="B218" s="103" t="str">
        <f>BREAKDOWN!B1899</f>
        <v>RIMI COLLEGE, KADUNA -TOTAL</v>
      </c>
      <c r="C218" s="5"/>
      <c r="D218" s="104">
        <f>SUM(D216:D217)</f>
        <v>80656789</v>
      </c>
      <c r="E218" s="114">
        <f>SUM(E216:E217)</f>
        <v>79906756.480000004</v>
      </c>
      <c r="F218" s="490">
        <f t="shared" ref="F218:G218" si="69">SUM(F216:F217)</f>
        <v>178090.8</v>
      </c>
      <c r="G218" s="468">
        <f t="shared" si="69"/>
        <v>79728665.680000007</v>
      </c>
      <c r="H218" s="113">
        <f>SUM(H216:H217)</f>
        <v>91535982.128000006</v>
      </c>
      <c r="I218" s="113">
        <f>SUM(I216:I217)</f>
        <v>99878465.340800002</v>
      </c>
    </row>
    <row r="219" spans="1:9">
      <c r="A219" s="127" t="str">
        <f>BREAKDOWN!A1901</f>
        <v>051702601000</v>
      </c>
      <c r="B219" s="121" t="str">
        <f>BREAKDOWN!B1901</f>
        <v>GOVERNMENT GIRLS' COLLEGE, ZONKWA</v>
      </c>
      <c r="C219" s="3" t="str">
        <f>BREAKDOWN!C1902</f>
        <v>Personnel Cost -Total</v>
      </c>
      <c r="D219" s="124">
        <v>31146246</v>
      </c>
      <c r="E219" s="28">
        <f>BREAKDOWN!J1902</f>
        <v>25310368.559999999</v>
      </c>
      <c r="F219" s="488">
        <f>BREAKDOWN!K1902</f>
        <v>0</v>
      </c>
      <c r="G219" s="469">
        <f>BREAKDOWN!L1902</f>
        <v>25310368.559999999</v>
      </c>
      <c r="H219" s="4">
        <f>BREAKDOWN!M1902</f>
        <v>27841405.415999997</v>
      </c>
      <c r="I219" s="4">
        <f>BREAKDOWN!N1902</f>
        <v>30625545.957599998</v>
      </c>
    </row>
    <row r="220" spans="1:9">
      <c r="A220" s="127"/>
      <c r="B220" s="121"/>
      <c r="C220" s="3" t="str">
        <f>BREAKDOWN!C1917</f>
        <v>Overhead Cost- Total</v>
      </c>
      <c r="D220" s="124">
        <v>14049000</v>
      </c>
      <c r="E220" s="28">
        <f>BREAKDOWN!J1917</f>
        <v>3421405</v>
      </c>
      <c r="F220" s="488">
        <f>BREAKDOWN!K1917</f>
        <v>149857.53899999999</v>
      </c>
      <c r="G220" s="469">
        <f>BREAKDOWN!L1917</f>
        <v>3271547.4610000001</v>
      </c>
      <c r="H220" s="4">
        <f>BREAKDOWN!M1917</f>
        <v>3121405</v>
      </c>
      <c r="I220" s="4">
        <f>BREAKDOWN!N1917</f>
        <v>3121405</v>
      </c>
    </row>
    <row r="221" spans="1:9" s="9" customFormat="1">
      <c r="A221" s="128"/>
      <c r="B221" s="103" t="str">
        <f>BREAKDOWN!B1918</f>
        <v>GOVERNMENT GIRLS' COLLEGE, ZONKWA- TOTAL</v>
      </c>
      <c r="C221" s="5"/>
      <c r="D221" s="104">
        <f>SUM(D219:D220)</f>
        <v>45195246</v>
      </c>
      <c r="E221" s="114">
        <f>SUM(E219:E220)</f>
        <v>28731773.559999999</v>
      </c>
      <c r="F221" s="490">
        <f t="shared" ref="F221:G221" si="70">SUM(F219:F220)</f>
        <v>149857.53899999999</v>
      </c>
      <c r="G221" s="468">
        <f t="shared" si="70"/>
        <v>28581916.020999998</v>
      </c>
      <c r="H221" s="113">
        <f>SUM(H219:H220)</f>
        <v>30962810.415999997</v>
      </c>
      <c r="I221" s="113">
        <f>SUM(I219:I220)</f>
        <v>33746950.957599998</v>
      </c>
    </row>
    <row r="222" spans="1:9">
      <c r="A222" s="127" t="str">
        <f>BREAKDOWN!A1920</f>
        <v>051705400100</v>
      </c>
      <c r="B222" s="121" t="str">
        <f>BREAKDOWN!B1920</f>
        <v>TEACHERS SERVICE BOARD</v>
      </c>
      <c r="C222" s="3" t="str">
        <f>BREAKDOWN!C1921</f>
        <v>Personnel Cost -Total</v>
      </c>
      <c r="D222" s="124">
        <v>34428490</v>
      </c>
      <c r="E222" s="28">
        <f>BREAKDOWN!J1921</f>
        <v>25653555.48</v>
      </c>
      <c r="F222" s="488">
        <f>BREAKDOWN!K1921</f>
        <v>0</v>
      </c>
      <c r="G222" s="469">
        <f>BREAKDOWN!L1921</f>
        <v>25653555.48</v>
      </c>
      <c r="H222" s="4">
        <f>BREAKDOWN!M1921</f>
        <v>28218911.028000001</v>
      </c>
      <c r="I222" s="4">
        <f>BREAKDOWN!N1921</f>
        <v>31040802.130800001</v>
      </c>
    </row>
    <row r="223" spans="1:9">
      <c r="A223" s="127"/>
      <c r="B223" s="121"/>
      <c r="C223" s="3" t="str">
        <f>BREAKDOWN!C1940</f>
        <v>Overhead Cost -Total</v>
      </c>
      <c r="D223" s="124">
        <v>14723000</v>
      </c>
      <c r="E223" s="28">
        <f>BREAKDOWN!J1940</f>
        <v>17354600</v>
      </c>
      <c r="F223" s="488">
        <f>BREAKDOWN!K1940</f>
        <v>760131.48</v>
      </c>
      <c r="G223" s="469">
        <f>BREAKDOWN!L1940</f>
        <v>16594468.520000001</v>
      </c>
      <c r="H223" s="4">
        <f>BREAKDOWN!M1940</f>
        <v>45354600</v>
      </c>
      <c r="I223" s="4">
        <f>BREAKDOWN!N1940</f>
        <v>45354600</v>
      </c>
    </row>
    <row r="224" spans="1:9" s="9" customFormat="1">
      <c r="A224" s="128"/>
      <c r="B224" s="103" t="str">
        <f>BREAKDOWN!B1941</f>
        <v>TEACHERS SERVICE BOARD -TOTAL</v>
      </c>
      <c r="C224" s="5"/>
      <c r="D224" s="104">
        <f>SUM(D222:D223)</f>
        <v>49151490</v>
      </c>
      <c r="E224" s="114">
        <f>SUM(E222:E223)</f>
        <v>43008155.480000004</v>
      </c>
      <c r="F224" s="490">
        <f t="shared" ref="F224:G224" si="71">SUM(F222:F223)</f>
        <v>760131.48</v>
      </c>
      <c r="G224" s="468">
        <f t="shared" si="71"/>
        <v>42248024</v>
      </c>
      <c r="H224" s="113">
        <f>SUM(H222:H223)</f>
        <v>73573511.027999997</v>
      </c>
      <c r="I224" s="113">
        <f>SUM(I222:I223)</f>
        <v>76395402.130800009</v>
      </c>
    </row>
    <row r="225" spans="1:9" s="38" customFormat="1" ht="30">
      <c r="A225" s="129" t="str">
        <f>BREAKDOWN!A1943</f>
        <v>051705500100</v>
      </c>
      <c r="B225" s="105" t="str">
        <f>BREAKDOWN!B1943</f>
        <v>SCIENCE AND TECHNICAL SCHOOLS MANAGEMENT BOARD</v>
      </c>
      <c r="C225" s="75" t="str">
        <f>BREAKDOWN!C1944</f>
        <v>Personnel Cost -Total</v>
      </c>
      <c r="D225" s="107">
        <v>0</v>
      </c>
      <c r="E225" s="297">
        <f>BREAKDOWN!J1944</f>
        <v>449649313.96000004</v>
      </c>
      <c r="F225" s="491">
        <f>BREAKDOWN!K1944</f>
        <v>0</v>
      </c>
      <c r="G225" s="467">
        <f>BREAKDOWN!L1944</f>
        <v>449649313.96000004</v>
      </c>
      <c r="H225" s="4">
        <f>BREAKDOWN!M1944</f>
        <v>263153673.15600002</v>
      </c>
      <c r="I225" s="4">
        <f>BREAKDOWN!N1944</f>
        <v>289469040.4716</v>
      </c>
    </row>
    <row r="226" spans="1:9" s="38" customFormat="1">
      <c r="A226" s="129"/>
      <c r="B226" s="105"/>
      <c r="C226" s="75" t="str">
        <f>BREAKDOWN!C1959</f>
        <v>Overhead Cost -Total</v>
      </c>
      <c r="D226" s="107">
        <v>0</v>
      </c>
      <c r="E226" s="297">
        <f>BREAKDOWN!J1959</f>
        <v>20740040</v>
      </c>
      <c r="F226" s="491">
        <f>BREAKDOWN!K1959</f>
        <v>908413.75199999998</v>
      </c>
      <c r="G226" s="467">
        <f>BREAKDOWN!L1959</f>
        <v>19831626.248000003</v>
      </c>
      <c r="H226" s="4">
        <f>BREAKDOWN!M1959</f>
        <v>22814044</v>
      </c>
      <c r="I226" s="4">
        <f>BREAKDOWN!N1959</f>
        <v>25095448.399999999</v>
      </c>
    </row>
    <row r="227" spans="1:9" s="9" customFormat="1" ht="30">
      <c r="A227" s="128"/>
      <c r="B227" s="103" t="str">
        <f>BREAKDOWN!B1960</f>
        <v>SCIENCE AND TECHNICAL SCHOOLS MANAGEMENT BOARD -TOTAL</v>
      </c>
      <c r="C227" s="5"/>
      <c r="D227" s="104"/>
      <c r="E227" s="114">
        <f>SUM(E225:E226)</f>
        <v>470389353.96000004</v>
      </c>
      <c r="F227" s="490">
        <f t="shared" ref="F227:G227" si="72">SUM(F225:F226)</f>
        <v>908413.75199999998</v>
      </c>
      <c r="G227" s="468">
        <f t="shared" si="72"/>
        <v>469480940.20800006</v>
      </c>
      <c r="H227" s="113">
        <f>SUM(H225:H226)</f>
        <v>285967717.15600002</v>
      </c>
      <c r="I227" s="113">
        <f>SUM(I225:I226)</f>
        <v>314564488.87159997</v>
      </c>
    </row>
    <row r="228" spans="1:9">
      <c r="A228" s="127" t="str">
        <f>BREAKDOWN!A1962</f>
        <v>051705501000</v>
      </c>
      <c r="B228" s="121" t="str">
        <f>BREAKDOWN!B1962</f>
        <v>SCIENCE SECONDARY SCHOOL, KUFENA</v>
      </c>
      <c r="C228" s="3" t="str">
        <f>BREAKDOWN!C1963</f>
        <v>Personnel Cost -Total</v>
      </c>
      <c r="D228" s="124">
        <v>43742708</v>
      </c>
      <c r="E228" s="28">
        <f>BREAKDOWN!J1963</f>
        <v>43824360.359999999</v>
      </c>
      <c r="F228" s="488">
        <f>BREAKDOWN!K1963</f>
        <v>0</v>
      </c>
      <c r="G228" s="469">
        <f>BREAKDOWN!L1963</f>
        <v>43824360.359999999</v>
      </c>
      <c r="H228" s="4">
        <f>BREAKDOWN!M1963</f>
        <v>48206796.395999998</v>
      </c>
      <c r="I228" s="4">
        <f>BREAKDOWN!N1963</f>
        <v>53027476.035599999</v>
      </c>
    </row>
    <row r="229" spans="1:9">
      <c r="A229" s="127"/>
      <c r="B229" s="121"/>
      <c r="C229" s="3" t="str">
        <f>BREAKDOWN!C1978</f>
        <v>Overhead Cost- Total</v>
      </c>
      <c r="D229" s="124">
        <v>13402000</v>
      </c>
      <c r="E229" s="28">
        <f>BREAKDOWN!J1978</f>
        <v>3585008</v>
      </c>
      <c r="F229" s="488">
        <f>BREAKDOWN!K1978</f>
        <v>157023.3504</v>
      </c>
      <c r="G229" s="469">
        <f>BREAKDOWN!L1978</f>
        <v>3427984.6496000001</v>
      </c>
      <c r="H229" s="4">
        <f>BREAKDOWN!M1978</f>
        <v>5432008</v>
      </c>
      <c r="I229" s="4">
        <f>BREAKDOWN!N1978</f>
        <v>5432008</v>
      </c>
    </row>
    <row r="230" spans="1:9" s="9" customFormat="1">
      <c r="A230" s="128"/>
      <c r="B230" s="103" t="str">
        <f>BREAKDOWN!B1979</f>
        <v>SCIENCE SECONDARY SCHOOL, KUFENA -TOTAL</v>
      </c>
      <c r="C230" s="5"/>
      <c r="D230" s="104">
        <f>SUM(D228:D229)</f>
        <v>57144708</v>
      </c>
      <c r="E230" s="114">
        <f>SUM(E228:E229)</f>
        <v>47409368.359999999</v>
      </c>
      <c r="F230" s="490">
        <f t="shared" ref="F230:G230" si="73">SUM(F228:F229)</f>
        <v>157023.3504</v>
      </c>
      <c r="G230" s="468">
        <f t="shared" si="73"/>
        <v>47252345.009599999</v>
      </c>
      <c r="H230" s="113">
        <f>SUM(H228:H229)</f>
        <v>53638804.395999998</v>
      </c>
      <c r="I230" s="113">
        <f>SUM(I228:I229)</f>
        <v>58459484.035599999</v>
      </c>
    </row>
    <row r="231" spans="1:9">
      <c r="A231" s="127" t="str">
        <f>BREAKDOWN!A1981</f>
        <v>051705501100</v>
      </c>
      <c r="B231" s="121" t="str">
        <f>BREAKDOWN!B1981</f>
        <v>GOVT GIRLS SCIENCE SECONDARY SCHOOL, SOBA</v>
      </c>
      <c r="C231" s="3" t="str">
        <f>BREAKDOWN!C1982</f>
        <v>Personnel Cost- Total</v>
      </c>
      <c r="D231" s="124">
        <v>39133818</v>
      </c>
      <c r="E231" s="28">
        <f>BREAKDOWN!J1982</f>
        <v>75425792.84366405</v>
      </c>
      <c r="F231" s="488">
        <f>BREAKDOWN!K1982</f>
        <v>0</v>
      </c>
      <c r="G231" s="469">
        <f>BREAKDOWN!L1982</f>
        <v>75425792.84366405</v>
      </c>
      <c r="H231" s="4">
        <f>BREAKDOWN!M1982</f>
        <v>82968372.128030449</v>
      </c>
      <c r="I231" s="4">
        <f>BREAKDOWN!N1982</f>
        <v>91265209.3408335</v>
      </c>
    </row>
    <row r="232" spans="1:9">
      <c r="A232" s="127"/>
      <c r="B232" s="121"/>
      <c r="C232" s="3" t="str">
        <f>BREAKDOWN!C1998</f>
        <v>Overhead Cost -Total</v>
      </c>
      <c r="D232" s="124">
        <v>16970000</v>
      </c>
      <c r="E232" s="28">
        <f>BREAKDOWN!J1998</f>
        <v>3476900</v>
      </c>
      <c r="F232" s="488">
        <f>BREAKDOWN!K1998</f>
        <v>152288.22</v>
      </c>
      <c r="G232" s="469">
        <f>BREAKDOWN!L1998</f>
        <v>3324611.78</v>
      </c>
      <c r="H232" s="4">
        <f>BREAKDOWN!M1998</f>
        <v>3154900</v>
      </c>
      <c r="I232" s="4">
        <f>BREAKDOWN!N1998</f>
        <v>3346900</v>
      </c>
    </row>
    <row r="233" spans="1:9" s="9" customFormat="1" ht="30">
      <c r="A233" s="128"/>
      <c r="B233" s="103" t="str">
        <f>BREAKDOWN!B1999</f>
        <v>GOVT GIRLS SCIENCE SECONDARY SCHOOL, SOBA-TOTAL</v>
      </c>
      <c r="C233" s="5"/>
      <c r="D233" s="104">
        <f>SUM(D231:D232)</f>
        <v>56103818</v>
      </c>
      <c r="E233" s="114">
        <f>SUM(E231:E232)</f>
        <v>78902692.84366405</v>
      </c>
      <c r="F233" s="490">
        <f t="shared" ref="F233:G233" si="74">SUM(F231:F232)</f>
        <v>152288.22</v>
      </c>
      <c r="G233" s="468">
        <f t="shared" si="74"/>
        <v>78750404.623664051</v>
      </c>
      <c r="H233" s="113">
        <f>SUM(H231:H232)</f>
        <v>86123272.128030449</v>
      </c>
      <c r="I233" s="113">
        <f>SUM(I231:I232)</f>
        <v>94612109.3408335</v>
      </c>
    </row>
    <row r="234" spans="1:9">
      <c r="A234" s="127" t="str">
        <f>BREAKDOWN!A2001</f>
        <v>051705501200</v>
      </c>
      <c r="B234" s="121" t="str">
        <f>BREAKDOWN!B2001</f>
        <v>GOVERNMENT GIRLS SECONDARY SCHOOL, KWOI</v>
      </c>
      <c r="C234" s="3" t="str">
        <f>BREAKDOWN!C2013</f>
        <v>Personnel Cost -Total</v>
      </c>
      <c r="D234" s="124">
        <v>53211009</v>
      </c>
      <c r="E234" s="28">
        <f>BREAKDOWN!J2013</f>
        <v>90833148.599999979</v>
      </c>
      <c r="F234" s="488">
        <f>BREAKDOWN!K2013</f>
        <v>0</v>
      </c>
      <c r="G234" s="469">
        <f>BREAKDOWN!L2013</f>
        <v>90833148.599999979</v>
      </c>
      <c r="H234" s="4">
        <f>BREAKDOWN!M2013</f>
        <v>92799282.510000005</v>
      </c>
      <c r="I234" s="4">
        <f>BREAKDOWN!N2013</f>
        <v>95053284.140000015</v>
      </c>
    </row>
    <row r="235" spans="1:9">
      <c r="A235" s="127"/>
      <c r="B235" s="121"/>
      <c r="C235" s="3" t="str">
        <f>BREAKDOWN!C2031</f>
        <v>Overhead Cost -Total</v>
      </c>
      <c r="D235" s="124">
        <v>26556000</v>
      </c>
      <c r="E235" s="28">
        <f>BREAKDOWN!J2031</f>
        <v>2998062.66</v>
      </c>
      <c r="F235" s="488">
        <f>BREAKDOWN!K2031</f>
        <v>131315.144508</v>
      </c>
      <c r="G235" s="469">
        <f>BREAKDOWN!L2031</f>
        <v>2866747.5154920002</v>
      </c>
      <c r="H235" s="4">
        <f>BREAKDOWN!M2031</f>
        <v>2990062.66</v>
      </c>
      <c r="I235" s="4">
        <f>BREAKDOWN!N2031</f>
        <v>2990062.66</v>
      </c>
    </row>
    <row r="236" spans="1:9" s="9" customFormat="1" ht="30">
      <c r="A236" s="128"/>
      <c r="B236" s="103" t="str">
        <f>BREAKDOWN!B2032</f>
        <v>GOVERNMENT GIRLS SECONDARY SCHOOL, KWOI -TOTAL</v>
      </c>
      <c r="C236" s="5"/>
      <c r="D236" s="104">
        <f>SUM(D234:D235)</f>
        <v>79767009</v>
      </c>
      <c r="E236" s="114">
        <f>SUM(E234:E235)</f>
        <v>93831211.259999976</v>
      </c>
      <c r="F236" s="490">
        <f t="shared" ref="F236:G236" si="75">SUM(F234:F235)</f>
        <v>131315.144508</v>
      </c>
      <c r="G236" s="468">
        <f t="shared" si="75"/>
        <v>93699896.115491986</v>
      </c>
      <c r="H236" s="113">
        <f>SUM(H234:H235)</f>
        <v>95789345.170000002</v>
      </c>
      <c r="I236" s="113">
        <f>SUM(I234:I235)</f>
        <v>98043346.800000012</v>
      </c>
    </row>
    <row r="237" spans="1:9">
      <c r="A237" s="127" t="str">
        <f>BREAKDOWN!A2032</f>
        <v>051705501200</v>
      </c>
      <c r="B237" s="121" t="str">
        <f>BREAKDOWN!B2034</f>
        <v>SCIENCE SECONDARY SCHOOL,  IKARA</v>
      </c>
      <c r="C237" s="3" t="str">
        <f>BREAKDOWN!C2044</f>
        <v>Personnel Cost -Total</v>
      </c>
      <c r="D237" s="124">
        <v>38422934</v>
      </c>
      <c r="E237" s="28">
        <f>BREAKDOWN!J2044</f>
        <v>5405628.2599999988</v>
      </c>
      <c r="F237" s="488">
        <f>BREAKDOWN!K2044</f>
        <v>0</v>
      </c>
      <c r="G237" s="469">
        <f>BREAKDOWN!L2044</f>
        <v>5405628.2599999988</v>
      </c>
      <c r="H237" s="4">
        <f>BREAKDOWN!M2044</f>
        <v>5946191.0860000001</v>
      </c>
      <c r="I237" s="4">
        <f>BREAKDOWN!N2044</f>
        <v>6540810.1945999991</v>
      </c>
    </row>
    <row r="238" spans="1:9">
      <c r="A238" s="127"/>
      <c r="B238" s="121"/>
      <c r="C238" s="3" t="str">
        <f>BREAKDOWN!C2058</f>
        <v>Overhead Cost -Total</v>
      </c>
      <c r="D238" s="124">
        <v>10312000</v>
      </c>
      <c r="E238" s="28">
        <f>BREAKDOWN!J2058</f>
        <v>3380000</v>
      </c>
      <c r="F238" s="488">
        <f>BREAKDOWN!K2058</f>
        <v>148044</v>
      </c>
      <c r="G238" s="469">
        <f>BREAKDOWN!L2058</f>
        <v>3231956</v>
      </c>
      <c r="H238" s="4">
        <f>BREAKDOWN!M2058</f>
        <v>5737000</v>
      </c>
      <c r="I238" s="4">
        <f>BREAKDOWN!N2058</f>
        <v>5737000</v>
      </c>
    </row>
    <row r="239" spans="1:9" s="9" customFormat="1">
      <c r="A239" s="128"/>
      <c r="B239" s="103" t="str">
        <f>BREAKDOWN!B2059</f>
        <v>SCIENCE SECONDARY SCHOOL,  IKARA -TOTAL</v>
      </c>
      <c r="C239" s="5"/>
      <c r="D239" s="104">
        <f>SUM(D237:D238)</f>
        <v>48734934</v>
      </c>
      <c r="E239" s="114">
        <f>SUM(E237:E238)</f>
        <v>8785628.2599999979</v>
      </c>
      <c r="F239" s="490">
        <f t="shared" ref="F239:G239" si="76">SUM(F237:F238)</f>
        <v>148044</v>
      </c>
      <c r="G239" s="468">
        <f t="shared" si="76"/>
        <v>8637584.2599999979</v>
      </c>
      <c r="H239" s="113">
        <f>SUM(H237:H238)</f>
        <v>11683191.085999999</v>
      </c>
      <c r="I239" s="113">
        <f>SUM(I237:I238)</f>
        <v>12277810.194599999</v>
      </c>
    </row>
    <row r="240" spans="1:9" ht="30">
      <c r="A240" s="127" t="str">
        <f>BREAKDOWN!A2061</f>
        <v>051705501400</v>
      </c>
      <c r="B240" s="121" t="str">
        <f>BREAKDOWN!B2061</f>
        <v>GOVERNMENT SCIENCE SECONDARY SCHOOL, BIRNIN GWARI</v>
      </c>
      <c r="C240" s="3" t="str">
        <f>BREAKDOWN!C2062</f>
        <v>Personnel Cost- Total</v>
      </c>
      <c r="D240" s="124">
        <v>33251091</v>
      </c>
      <c r="E240" s="28">
        <f>BREAKDOWN!J2062</f>
        <v>33533129.030000001</v>
      </c>
      <c r="F240" s="488">
        <f>BREAKDOWN!K2062</f>
        <v>0</v>
      </c>
      <c r="G240" s="469">
        <f>BREAKDOWN!L2062</f>
        <v>33533129.030000001</v>
      </c>
      <c r="H240" s="4">
        <f>BREAKDOWN!M2062</f>
        <v>36886441.932999998</v>
      </c>
      <c r="I240" s="4">
        <f>BREAKDOWN!N2062</f>
        <v>40575086.1263</v>
      </c>
    </row>
    <row r="241" spans="1:9">
      <c r="A241" s="127"/>
      <c r="B241" s="121"/>
      <c r="C241" s="3" t="str">
        <f>BREAKDOWN!C2081</f>
        <v>Overhead Cost -Total</v>
      </c>
      <c r="D241" s="124">
        <v>7113000</v>
      </c>
      <c r="E241" s="28">
        <f>BREAKDOWN!J2081</f>
        <v>3013400</v>
      </c>
      <c r="F241" s="488">
        <f>BREAKDOWN!K2081</f>
        <v>131986.91999999998</v>
      </c>
      <c r="G241" s="469">
        <f>BREAKDOWN!L2081</f>
        <v>2881413.0800000005</v>
      </c>
      <c r="H241" s="4">
        <f>BREAKDOWN!M2081</f>
        <v>2907400</v>
      </c>
      <c r="I241" s="4">
        <f>BREAKDOWN!N2081</f>
        <v>2907400</v>
      </c>
    </row>
    <row r="242" spans="1:9" s="9" customFormat="1" ht="30">
      <c r="A242" s="128"/>
      <c r="B242" s="103" t="str">
        <f>BREAKDOWN!B2082</f>
        <v>GOVERNMENT SCIENCE SECONDARY SCHOOL, BIRNIN GWARI -TOTAL</v>
      </c>
      <c r="C242" s="5"/>
      <c r="D242" s="104">
        <f>SUM(D240:D241)</f>
        <v>40364091</v>
      </c>
      <c r="E242" s="114">
        <f>SUM(E240:E241)</f>
        <v>36546529.030000001</v>
      </c>
      <c r="F242" s="490">
        <f t="shared" ref="F242:G242" si="77">SUM(F240:F241)</f>
        <v>131986.91999999998</v>
      </c>
      <c r="G242" s="468">
        <f t="shared" si="77"/>
        <v>36414542.109999999</v>
      </c>
      <c r="H242" s="113">
        <f>SUM(H240:H241)</f>
        <v>39793841.932999998</v>
      </c>
      <c r="I242" s="113">
        <f>SUM(I240:I241)</f>
        <v>43482486.1263</v>
      </c>
    </row>
    <row r="243" spans="1:9">
      <c r="A243" s="127" t="str">
        <f>BREAKDOWN!A2084</f>
        <v>051705501500</v>
      </c>
      <c r="B243" s="121" t="str">
        <f>BREAKDOWN!B2084</f>
        <v>GOVERNMENT COLLEGE , KAGORO</v>
      </c>
      <c r="C243" s="3" t="str">
        <f>BREAKDOWN!C2096</f>
        <v>Personnel Cost -Total</v>
      </c>
      <c r="D243" s="124">
        <v>42240909</v>
      </c>
      <c r="E243" s="28">
        <f>BREAKDOWN!J2096</f>
        <v>81091996.060000017</v>
      </c>
      <c r="F243" s="488">
        <f>BREAKDOWN!K2096</f>
        <v>0</v>
      </c>
      <c r="G243" s="469">
        <f>BREAKDOWN!L2096</f>
        <v>81091996.060000017</v>
      </c>
      <c r="H243" s="4">
        <f>BREAKDOWN!M2096</f>
        <v>83513810.670000002</v>
      </c>
      <c r="I243" s="4">
        <f>BREAKDOWN!N2096</f>
        <v>80937266.899999991</v>
      </c>
    </row>
    <row r="244" spans="1:9">
      <c r="A244" s="127"/>
      <c r="B244" s="121"/>
      <c r="C244" s="3" t="str">
        <f>BREAKDOWN!C2114</f>
        <v>Overhead Cost- Total</v>
      </c>
      <c r="D244" s="124">
        <v>13157000</v>
      </c>
      <c r="E244" s="28">
        <f>BREAKDOWN!J2114</f>
        <v>3245390</v>
      </c>
      <c r="F244" s="488">
        <f>BREAKDOWN!K2114</f>
        <v>142148.08199999999</v>
      </c>
      <c r="G244" s="469">
        <f>BREAKDOWN!L2114</f>
        <v>3103241.9180000001</v>
      </c>
      <c r="H244" s="4">
        <f>BREAKDOWN!M2114</f>
        <v>3958593.22</v>
      </c>
      <c r="I244" s="4">
        <f>BREAKDOWN!N2114</f>
        <v>3958593.22</v>
      </c>
    </row>
    <row r="245" spans="1:9" s="9" customFormat="1">
      <c r="A245" s="128"/>
      <c r="B245" s="103" t="str">
        <f>BREAKDOWN!B2115</f>
        <v>GOVERNMENT COLLEGE , KAGORO -TOTAL</v>
      </c>
      <c r="C245" s="5"/>
      <c r="D245" s="104">
        <f>SUM(D243:D244)</f>
        <v>55397909</v>
      </c>
      <c r="E245" s="114">
        <f>SUM(E243:E244)</f>
        <v>84337386.060000017</v>
      </c>
      <c r="F245" s="490">
        <f t="shared" ref="F245:G245" si="78">SUM(F243:F244)</f>
        <v>142148.08199999999</v>
      </c>
      <c r="G245" s="468">
        <f t="shared" si="78"/>
        <v>84195237.978000015</v>
      </c>
      <c r="H245" s="113">
        <f>SUM(H243:H244)</f>
        <v>87472403.890000001</v>
      </c>
      <c r="I245" s="113">
        <f>SUM(I243:I244)</f>
        <v>84895860.11999999</v>
      </c>
    </row>
    <row r="246" spans="1:9">
      <c r="A246" s="127" t="str">
        <f>BREAKDOWN!A2117</f>
        <v>051705600100</v>
      </c>
      <c r="B246" s="121" t="str">
        <f>BREAKDOWN!B2117</f>
        <v>KADUNA STATE SCHOLARSHIP BOARD</v>
      </c>
      <c r="C246" s="3" t="str">
        <f>BREAKDOWN!C2126</f>
        <v>Personnel Cost -Total</v>
      </c>
      <c r="D246" s="124">
        <v>20043790</v>
      </c>
      <c r="E246" s="28">
        <f>BREAKDOWN!J2126</f>
        <v>26404723.560000006</v>
      </c>
      <c r="F246" s="488">
        <f>BREAKDOWN!K2126</f>
        <v>0</v>
      </c>
      <c r="G246" s="469">
        <f>BREAKDOWN!L2126</f>
        <v>26404723.560000006</v>
      </c>
      <c r="H246" s="4">
        <f>BREAKDOWN!M2126</f>
        <v>27224054.400000006</v>
      </c>
      <c r="I246" s="4">
        <f>BREAKDOWN!N2126</f>
        <v>27224320.799999997</v>
      </c>
    </row>
    <row r="247" spans="1:9">
      <c r="A247" s="127"/>
      <c r="B247" s="121"/>
      <c r="C247" s="3" t="str">
        <f>BREAKDOWN!C2145</f>
        <v>Overhead Cost- Total</v>
      </c>
      <c r="D247" s="124">
        <v>496679000</v>
      </c>
      <c r="E247" s="28">
        <f>BREAKDOWN!J2145</f>
        <v>1565872567</v>
      </c>
      <c r="F247" s="488">
        <f>BREAKDOWN!K2145</f>
        <v>68585218.434599996</v>
      </c>
      <c r="G247" s="469">
        <f>BREAKDOWN!L2145</f>
        <v>1497287348.5654001</v>
      </c>
      <c r="H247" s="4">
        <f>BREAKDOWN!M2145</f>
        <v>1588751567</v>
      </c>
      <c r="I247" s="4">
        <f>BREAKDOWN!N2145</f>
        <v>1616911567</v>
      </c>
    </row>
    <row r="248" spans="1:9" s="9" customFormat="1">
      <c r="A248" s="128"/>
      <c r="B248" s="103" t="str">
        <f>BREAKDOWN!B2146</f>
        <v>KADUNA STATE SCHOLARSHIP BOARD -TOTAL</v>
      </c>
      <c r="C248" s="5"/>
      <c r="D248" s="104">
        <f>SUM(D246:D247)</f>
        <v>516722790</v>
      </c>
      <c r="E248" s="114">
        <f>SUM(E246:E247)</f>
        <v>1592277290.5599999</v>
      </c>
      <c r="F248" s="490">
        <f t="shared" ref="F248:G248" si="79">SUM(F246:F247)</f>
        <v>68585218.434599996</v>
      </c>
      <c r="G248" s="468">
        <f t="shared" si="79"/>
        <v>1523692072.1254001</v>
      </c>
      <c r="H248" s="113">
        <f>SUM(H246:H247)</f>
        <v>1615975621.4000001</v>
      </c>
      <c r="I248" s="113">
        <f>SUM(I246:I247)</f>
        <v>1644135887.8</v>
      </c>
    </row>
    <row r="249" spans="1:9">
      <c r="A249" s="127" t="str">
        <f>BREAKDOWN!A2148</f>
        <v>051705700100</v>
      </c>
      <c r="B249" s="121" t="str">
        <f>BREAKDOWN!B2148</f>
        <v>PRIVATE SCHOOLS BOARD</v>
      </c>
      <c r="C249" s="3" t="str">
        <f>BREAKDOWN!C2149</f>
        <v>Personnel Cost- Total</v>
      </c>
      <c r="D249" s="124">
        <v>52372266</v>
      </c>
      <c r="E249" s="28">
        <f>BREAKDOWN!J2149</f>
        <v>54951202.68</v>
      </c>
      <c r="F249" s="488">
        <f>BREAKDOWN!K2149</f>
        <v>0</v>
      </c>
      <c r="G249" s="469">
        <f>BREAKDOWN!L2149</f>
        <v>54951202.68</v>
      </c>
      <c r="H249" s="4">
        <f>BREAKDOWN!M2149</f>
        <v>60446322.947999999</v>
      </c>
      <c r="I249" s="4">
        <f>BREAKDOWN!N2149</f>
        <v>66490955.242799997</v>
      </c>
    </row>
    <row r="250" spans="1:9">
      <c r="A250" s="127"/>
      <c r="B250" s="121"/>
      <c r="C250" s="3" t="str">
        <f>BREAKDOWN!C2163</f>
        <v>Overhead Cost -Total</v>
      </c>
      <c r="D250" s="124">
        <v>10341000</v>
      </c>
      <c r="E250" s="28">
        <f>BREAKDOWN!J2163</f>
        <v>9424000</v>
      </c>
      <c r="F250" s="488">
        <f>BREAKDOWN!K2163</f>
        <v>412771.2</v>
      </c>
      <c r="G250" s="469">
        <f>BREAKDOWN!L2163</f>
        <v>9011228.8000000007</v>
      </c>
      <c r="H250" s="4">
        <f>BREAKDOWN!M2163</f>
        <v>13739000</v>
      </c>
      <c r="I250" s="4">
        <f>BREAKDOWN!N2163</f>
        <v>13739000</v>
      </c>
    </row>
    <row r="251" spans="1:9" s="9" customFormat="1">
      <c r="A251" s="128"/>
      <c r="B251" s="103" t="str">
        <f>BREAKDOWN!B2164</f>
        <v>PRIVATE SCHOOLS BOARD- TOTAL</v>
      </c>
      <c r="C251" s="5"/>
      <c r="D251" s="104">
        <f>SUM(D249:D250)</f>
        <v>62713266</v>
      </c>
      <c r="E251" s="114">
        <f>SUM(E249:E250)</f>
        <v>64375202.68</v>
      </c>
      <c r="F251" s="490">
        <f t="shared" ref="F251:G251" si="80">SUM(F249:F250)</f>
        <v>412771.2</v>
      </c>
      <c r="G251" s="468">
        <f t="shared" si="80"/>
        <v>63962431.480000004</v>
      </c>
      <c r="H251" s="113">
        <f>SUM(H249:H250)</f>
        <v>74185322.947999999</v>
      </c>
      <c r="I251" s="113">
        <f>SUM(I249:I250)</f>
        <v>80229955.242799997</v>
      </c>
    </row>
    <row r="252" spans="1:9">
      <c r="A252" s="127" t="str">
        <f>BREAKDOWN!A2166</f>
        <v>051705900100</v>
      </c>
      <c r="B252" s="121" t="str">
        <f>BREAKDOWN!B2166</f>
        <v>QUALITY ASSURANCE BOARD - MOES&amp;T</v>
      </c>
      <c r="C252" s="3" t="str">
        <f>BREAKDOWN!C2182</f>
        <v xml:space="preserve">Overhead Cost </v>
      </c>
      <c r="D252" s="124">
        <v>22881000</v>
      </c>
      <c r="E252" s="297">
        <f>BREAKDOWN!J2183</f>
        <v>40013010</v>
      </c>
      <c r="F252" s="491">
        <f>BREAKDOWN!K2183</f>
        <v>1752569.838</v>
      </c>
      <c r="G252" s="467">
        <f>BREAKDOWN!L2183</f>
        <v>38260440.162</v>
      </c>
      <c r="H252" s="4">
        <f>BREAKDOWN!M2183</f>
        <v>31296800</v>
      </c>
      <c r="I252" s="4">
        <f>BREAKDOWN!N2183</f>
        <v>31296800</v>
      </c>
    </row>
    <row r="253" spans="1:9" s="9" customFormat="1">
      <c r="A253" s="128"/>
      <c r="B253" s="103" t="str">
        <f>BREAKDOWN!B2183</f>
        <v>QUALITY ASSURANCE BOARD - MOE TOTAL</v>
      </c>
      <c r="C253" s="5"/>
      <c r="D253" s="104">
        <f>SUM(D252)</f>
        <v>22881000</v>
      </c>
      <c r="E253" s="114">
        <f>SUM(E252)</f>
        <v>40013010</v>
      </c>
      <c r="F253" s="490">
        <f t="shared" ref="F253:G253" si="81">SUM(F252)</f>
        <v>1752569.838</v>
      </c>
      <c r="G253" s="468">
        <f t="shared" si="81"/>
        <v>38260440.162</v>
      </c>
      <c r="H253" s="113">
        <f>SUM(H252)</f>
        <v>31296800</v>
      </c>
      <c r="I253" s="113">
        <f>SUM(I252)</f>
        <v>31296800</v>
      </c>
    </row>
    <row r="254" spans="1:9">
      <c r="A254" s="127" t="str">
        <f>BREAKDOWN!A2185</f>
        <v>052100100100</v>
      </c>
      <c r="B254" s="121" t="str">
        <f>BREAKDOWN!B2185</f>
        <v>MINISTRY OF HEALTH AND HUMAN SERVICES</v>
      </c>
      <c r="C254" s="3" t="str">
        <f>BREAKDOWN!C2187</f>
        <v>Personnel Cost -Total</v>
      </c>
      <c r="D254" s="124">
        <v>4923094604</v>
      </c>
      <c r="E254" s="28">
        <f>BREAKDOWN!J2187</f>
        <v>5270696814.3030195</v>
      </c>
      <c r="F254" s="488">
        <f>BREAKDOWN!K2187</f>
        <v>0</v>
      </c>
      <c r="G254" s="469">
        <f>BREAKDOWN!L2187</f>
        <v>5270696814.3030195</v>
      </c>
      <c r="H254" s="4">
        <f>BREAKDOWN!M2187</f>
        <v>5797766495.7333221</v>
      </c>
      <c r="I254" s="4">
        <f>BREAKDOWN!N2187</f>
        <v>6377543145.306654</v>
      </c>
    </row>
    <row r="255" spans="1:9">
      <c r="A255" s="127"/>
      <c r="B255" s="121"/>
      <c r="C255" s="3" t="str">
        <f>BREAKDOWN!C2209</f>
        <v>Overhead Cost -Total</v>
      </c>
      <c r="D255" s="124">
        <v>329340000</v>
      </c>
      <c r="E255" s="28">
        <f>BREAKDOWN!J2209</f>
        <v>448611600</v>
      </c>
      <c r="F255" s="488">
        <f>BREAKDOWN!K2209</f>
        <v>19649188.079999998</v>
      </c>
      <c r="G255" s="469">
        <f>BREAKDOWN!L2209</f>
        <v>428962411.92000002</v>
      </c>
      <c r="H255" s="4">
        <f>BREAKDOWN!M2209</f>
        <v>524907900</v>
      </c>
      <c r="I255" s="4">
        <f>BREAKDOWN!N2209</f>
        <v>568639400</v>
      </c>
    </row>
    <row r="256" spans="1:9" s="9" customFormat="1" ht="30">
      <c r="A256" s="128"/>
      <c r="B256" s="103" t="str">
        <f>BREAKDOWN!B2210</f>
        <v>MINISTRY OF HEALTH AND HUMAN SERVICES- TOTAL</v>
      </c>
      <c r="C256" s="5"/>
      <c r="D256" s="104">
        <f>SUM(D254:D255)</f>
        <v>5252434604</v>
      </c>
      <c r="E256" s="114">
        <f>SUM(E254:E255)</f>
        <v>5719308414.3030195</v>
      </c>
      <c r="F256" s="490">
        <f t="shared" ref="F256:G256" si="82">SUM(F254:F255)</f>
        <v>19649188.079999998</v>
      </c>
      <c r="G256" s="468">
        <f t="shared" si="82"/>
        <v>5699659226.2230196</v>
      </c>
      <c r="H256" s="113">
        <f>SUM(H254:H255)</f>
        <v>6322674395.7333221</v>
      </c>
      <c r="I256" s="113">
        <f>SUM(I254:I255)</f>
        <v>6946182545.306654</v>
      </c>
    </row>
    <row r="257" spans="1:9" ht="30">
      <c r="A257" s="127" t="str">
        <f>BREAKDOWN!A2212</f>
        <v>052100300100</v>
      </c>
      <c r="B257" s="121" t="str">
        <f>BREAKDOWN!B2212</f>
        <v>STATE PRIMARY HEALTH CARE DEVELOPMENT AGENCY</v>
      </c>
      <c r="C257" s="3" t="str">
        <f>BREAKDOWN!C2223</f>
        <v>Personnel Cost -Total</v>
      </c>
      <c r="D257" s="124">
        <v>63849505</v>
      </c>
      <c r="E257" s="28">
        <f>BREAKDOWN!J2223</f>
        <v>6270060764.1880989</v>
      </c>
      <c r="F257" s="488">
        <f>BREAKDOWN!K2223</f>
        <v>0</v>
      </c>
      <c r="G257" s="469">
        <f>BREAKDOWN!L2223</f>
        <v>6270060764.1880989</v>
      </c>
      <c r="H257" s="4">
        <f>BREAKDOWN!M2223</f>
        <v>6893226840.6069088</v>
      </c>
      <c r="I257" s="4">
        <f>BREAKDOWN!N2223</f>
        <v>7578709524.6676016</v>
      </c>
    </row>
    <row r="258" spans="1:9">
      <c r="A258" s="127"/>
      <c r="B258" s="121"/>
      <c r="C258" s="3" t="str">
        <f>BREAKDOWN!C2238</f>
        <v>Overhead Cost -Total</v>
      </c>
      <c r="D258" s="124">
        <v>125733000</v>
      </c>
      <c r="E258" s="28">
        <f>BREAKDOWN!J2238</f>
        <v>219642800</v>
      </c>
      <c r="F258" s="488">
        <f>BREAKDOWN!K2238</f>
        <v>9620354.6400000006</v>
      </c>
      <c r="G258" s="469">
        <f>BREAKDOWN!L2238</f>
        <v>210022445.36000001</v>
      </c>
      <c r="H258" s="4">
        <f>BREAKDOWN!M2238</f>
        <v>241325200</v>
      </c>
      <c r="I258" s="4">
        <f>BREAKDOWN!N2238</f>
        <v>227865200</v>
      </c>
    </row>
    <row r="259" spans="1:9" s="9" customFormat="1" ht="30">
      <c r="A259" s="128"/>
      <c r="B259" s="103" t="str">
        <f>BREAKDOWN!B2239</f>
        <v>STATE PRIMARY HEALTH CARE DEVELOPMENT AGENCY -TOTAL</v>
      </c>
      <c r="C259" s="5"/>
      <c r="D259" s="104">
        <f>SUM(D257:D258)</f>
        <v>189582505</v>
      </c>
      <c r="E259" s="114">
        <f>SUM(E257:E258)</f>
        <v>6489703564.1880989</v>
      </c>
      <c r="F259" s="490">
        <f t="shared" ref="F259:G259" si="83">SUM(F257:F258)</f>
        <v>9620354.6400000006</v>
      </c>
      <c r="G259" s="468">
        <f t="shared" si="83"/>
        <v>6480083209.5480986</v>
      </c>
      <c r="H259" s="113">
        <f>SUM(H257:H258)</f>
        <v>7134552040.6069088</v>
      </c>
      <c r="I259" s="113">
        <f>SUM(I257:I258)</f>
        <v>7806574724.6676016</v>
      </c>
    </row>
    <row r="260" spans="1:9" ht="30">
      <c r="A260" s="127" t="str">
        <f>BREAKDOWN!A2241</f>
        <v>052110400100</v>
      </c>
      <c r="B260" s="121" t="str">
        <f>BREAKDOWN!B2241</f>
        <v>C0LLEGE OF NURSING AND MIDWIFERY, KAFANCHAN</v>
      </c>
      <c r="C260" s="3" t="str">
        <f>BREAKDOWN!C2242</f>
        <v>Personnel Cost -Total</v>
      </c>
      <c r="D260" s="124">
        <v>190976358</v>
      </c>
      <c r="E260" s="28">
        <f>BREAKDOWN!J2242</f>
        <v>211299750</v>
      </c>
      <c r="F260" s="488">
        <f>BREAKDOWN!K2242</f>
        <v>0</v>
      </c>
      <c r="G260" s="469">
        <f>BREAKDOWN!L2242</f>
        <v>211299750</v>
      </c>
      <c r="H260" s="4">
        <f>BREAKDOWN!M2242</f>
        <v>232429725</v>
      </c>
      <c r="I260" s="4">
        <f>BREAKDOWN!N2242</f>
        <v>255672697.5</v>
      </c>
    </row>
    <row r="261" spans="1:9">
      <c r="A261" s="127"/>
      <c r="B261" s="121"/>
      <c r="C261" s="3" t="str">
        <f>BREAKDOWN!C2288</f>
        <v>Overhead Cost -Total</v>
      </c>
      <c r="D261" s="124">
        <v>38108000</v>
      </c>
      <c r="E261" s="28">
        <f>BREAKDOWN!J2288</f>
        <v>58694800</v>
      </c>
      <c r="F261" s="488">
        <f>BREAKDOWN!K2288</f>
        <v>2570832.2399999998</v>
      </c>
      <c r="G261" s="469">
        <f>BREAKDOWN!L2288</f>
        <v>56123967.760000013</v>
      </c>
      <c r="H261" s="4">
        <f>BREAKDOWN!M2288</f>
        <v>55630800</v>
      </c>
      <c r="I261" s="4">
        <f>BREAKDOWN!N2288</f>
        <v>55630800</v>
      </c>
    </row>
    <row r="262" spans="1:9" s="9" customFormat="1" ht="30">
      <c r="A262" s="128"/>
      <c r="B262" s="103" t="str">
        <f>BREAKDOWN!B2289</f>
        <v>C0LLEGE OF NURSING AND MIDWIFERY, KAFANCHAN- TOTAL</v>
      </c>
      <c r="C262" s="5"/>
      <c r="D262" s="104">
        <f>SUM(D260:D261)</f>
        <v>229084358</v>
      </c>
      <c r="E262" s="114">
        <f>SUM(E260:E261)</f>
        <v>269994550</v>
      </c>
      <c r="F262" s="490">
        <f t="shared" ref="F262:G262" si="84">SUM(F260:F261)</f>
        <v>2570832.2399999998</v>
      </c>
      <c r="G262" s="468">
        <f t="shared" si="84"/>
        <v>267423717.76000002</v>
      </c>
      <c r="H262" s="113">
        <f>SUM(H260:H261)</f>
        <v>288060525</v>
      </c>
      <c r="I262" s="113">
        <f>SUM(I260:I261)</f>
        <v>311303497.5</v>
      </c>
    </row>
    <row r="263" spans="1:9" ht="30">
      <c r="A263" s="127" t="str">
        <f>BREAKDOWN!A2291</f>
        <v>052110600100</v>
      </c>
      <c r="B263" s="121" t="str">
        <f>BREAKDOWN!B2291</f>
        <v>SHEHU IDRIS COLLEGE OF HEALTH SCIENCES AND TECHNOLOGY,MAKARFI</v>
      </c>
      <c r="C263" s="3" t="str">
        <f>BREAKDOWN!C2292</f>
        <v>Personnel Cost- Total</v>
      </c>
      <c r="D263" s="124">
        <v>383197592</v>
      </c>
      <c r="E263" s="28">
        <f>BREAKDOWN!J2292</f>
        <v>501623652</v>
      </c>
      <c r="F263" s="488">
        <f>BREAKDOWN!K2292</f>
        <v>0</v>
      </c>
      <c r="G263" s="469">
        <f>BREAKDOWN!L2292</f>
        <v>501623652</v>
      </c>
      <c r="H263" s="4">
        <f>BREAKDOWN!M2292</f>
        <v>551786017.20000005</v>
      </c>
      <c r="I263" s="4">
        <f>BREAKDOWN!N2292</f>
        <v>606964618.92000008</v>
      </c>
    </row>
    <row r="264" spans="1:9">
      <c r="A264" s="127"/>
      <c r="B264" s="121"/>
      <c r="C264" s="3" t="str">
        <f>BREAKDOWN!C2331</f>
        <v>Overhead Cost -Total</v>
      </c>
      <c r="D264" s="124">
        <v>163427067</v>
      </c>
      <c r="E264" s="28">
        <f>BREAKDOWN!J2331</f>
        <v>141780367</v>
      </c>
      <c r="F264" s="488">
        <f>BREAKDOWN!K2331</f>
        <v>6209980.0745999999</v>
      </c>
      <c r="G264" s="469">
        <f>BREAKDOWN!L2331</f>
        <v>135570386.92539999</v>
      </c>
      <c r="H264" s="4">
        <f>BREAKDOWN!M2331</f>
        <v>138469943.69999999</v>
      </c>
      <c r="I264" s="4">
        <f>BREAKDOWN!N2331</f>
        <v>152316938.06999999</v>
      </c>
    </row>
    <row r="265" spans="1:9" s="9" customFormat="1" ht="30">
      <c r="A265" s="128"/>
      <c r="B265" s="103" t="str">
        <f>BREAKDOWN!B2332</f>
        <v>SHEHU IDRIS COLLEGE OF HEALTH SCIENCES AND TECHNOLOGY,MAKARFI -TOTAL</v>
      </c>
      <c r="C265" s="5"/>
      <c r="D265" s="104">
        <f>SUM(D263:D264)</f>
        <v>546624659</v>
      </c>
      <c r="E265" s="114">
        <f>SUM(E263:E264)</f>
        <v>643404019</v>
      </c>
      <c r="F265" s="490">
        <f t="shared" ref="F265:G265" si="85">SUM(F263:F264)</f>
        <v>6209980.0745999999</v>
      </c>
      <c r="G265" s="468">
        <f t="shared" si="85"/>
        <v>637194038.92540002</v>
      </c>
      <c r="H265" s="113">
        <f>SUM(H263:H264)</f>
        <v>690255960.9000001</v>
      </c>
      <c r="I265" s="113">
        <f>SUM(I263:I264)</f>
        <v>759281556.99000001</v>
      </c>
    </row>
    <row r="266" spans="1:9" ht="30">
      <c r="A266" s="127" t="str">
        <f>BREAKDOWN!A2334</f>
        <v>052111300100</v>
      </c>
      <c r="B266" s="121" t="str">
        <f>BREAKDOWN!B2334</f>
        <v>DRUGS AND MEDICAL SUPPLIES MANAGEMENT AGENCY</v>
      </c>
      <c r="C266" s="3" t="str">
        <f>BREAKDOWN!C2344</f>
        <v>Personnel Cost- Total</v>
      </c>
      <c r="D266" s="124">
        <v>50938164</v>
      </c>
      <c r="E266" s="28">
        <f>BREAKDOWN!J2344</f>
        <v>53733273.563099995</v>
      </c>
      <c r="F266" s="488">
        <f>BREAKDOWN!K2344</f>
        <v>0</v>
      </c>
      <c r="G266" s="469">
        <f>BREAKDOWN!L2344</f>
        <v>53733273.563099995</v>
      </c>
      <c r="H266" s="4">
        <f>BREAKDOWN!M2344</f>
        <v>64169386.673273019</v>
      </c>
      <c r="I266" s="4">
        <f>BREAKDOWN!N2344</f>
        <v>66069159.443071164</v>
      </c>
    </row>
    <row r="267" spans="1:9">
      <c r="A267" s="127"/>
      <c r="B267" s="121"/>
      <c r="C267" s="3" t="str">
        <f>BREAKDOWN!C2370</f>
        <v>Overhead Cost- Total</v>
      </c>
      <c r="D267" s="124">
        <v>3951000</v>
      </c>
      <c r="E267" s="28">
        <f>BREAKDOWN!J2370</f>
        <v>19257600</v>
      </c>
      <c r="F267" s="488">
        <f>BREAKDOWN!K2370</f>
        <v>843482.88</v>
      </c>
      <c r="G267" s="469">
        <f>BREAKDOWN!L2370</f>
        <v>18414117.120000001</v>
      </c>
      <c r="H267" s="4">
        <f>BREAKDOWN!M2370</f>
        <v>4911950</v>
      </c>
      <c r="I267" s="4">
        <f>BREAKDOWN!N2370</f>
        <v>5108950</v>
      </c>
    </row>
    <row r="268" spans="1:9" s="9" customFormat="1" ht="30">
      <c r="A268" s="128"/>
      <c r="B268" s="103" t="str">
        <f>BREAKDOWN!B2371</f>
        <v>DRUGS AND MEDICAL SUPPLIES MANAGEMENT AGENCY -TOTAL</v>
      </c>
      <c r="C268" s="5"/>
      <c r="D268" s="104">
        <f>SUM(D266:D267)</f>
        <v>54889164</v>
      </c>
      <c r="E268" s="114">
        <f>SUM(E266:E267)</f>
        <v>72990873.563099995</v>
      </c>
      <c r="F268" s="490">
        <f t="shared" ref="F268:G268" si="86">SUM(F266:F267)</f>
        <v>843482.88</v>
      </c>
      <c r="G268" s="468">
        <f t="shared" si="86"/>
        <v>72147390.6831</v>
      </c>
      <c r="H268" s="113">
        <f>SUM(H266:H267)</f>
        <v>69081336.673273027</v>
      </c>
      <c r="I268" s="113">
        <f>SUM(I266:I267)</f>
        <v>71178109.443071157</v>
      </c>
    </row>
    <row r="269" spans="1:9">
      <c r="A269" s="127" t="str">
        <f>BREAKDOWN!A2373</f>
        <v>052111400100</v>
      </c>
      <c r="B269" s="121" t="str">
        <f>BREAKDOWN!B2373</f>
        <v>COLLEGE OF MIDWIFERY, TUDUN WADA, KADUNA</v>
      </c>
      <c r="C269" s="3" t="str">
        <f>BREAKDOWN!C2374</f>
        <v>Personnel Cost -Total</v>
      </c>
      <c r="D269" s="124">
        <v>84544554</v>
      </c>
      <c r="E269" s="28">
        <f>BREAKDOWN!J2374</f>
        <v>85947450</v>
      </c>
      <c r="F269" s="488">
        <f>BREAKDOWN!K2374</f>
        <v>0</v>
      </c>
      <c r="G269" s="469">
        <f>BREAKDOWN!L2374</f>
        <v>85947450</v>
      </c>
      <c r="H269" s="4">
        <f>BREAKDOWN!M2374</f>
        <v>85947450</v>
      </c>
      <c r="I269" s="4">
        <f>BREAKDOWN!N2374</f>
        <v>85947450</v>
      </c>
    </row>
    <row r="270" spans="1:9">
      <c r="A270" s="127"/>
      <c r="B270" s="121"/>
      <c r="C270" s="3" t="str">
        <f>BREAKDOWN!C2404</f>
        <v>Overhead Cost -Total</v>
      </c>
      <c r="D270" s="124">
        <v>11235000</v>
      </c>
      <c r="E270" s="28">
        <f>BREAKDOWN!J2404</f>
        <v>21438250</v>
      </c>
      <c r="F270" s="488">
        <f>BREAKDOWN!K2404</f>
        <v>938995.35</v>
      </c>
      <c r="G270" s="469">
        <f>BREAKDOWN!L2404</f>
        <v>20499254.649999999</v>
      </c>
      <c r="H270" s="4">
        <f>BREAKDOWN!M2404</f>
        <v>10266250</v>
      </c>
      <c r="I270" s="4">
        <f>BREAKDOWN!N2404</f>
        <v>9876250</v>
      </c>
    </row>
    <row r="271" spans="1:9" s="9" customFormat="1" ht="27" customHeight="1">
      <c r="A271" s="128"/>
      <c r="B271" s="103" t="str">
        <f>BREAKDOWN!B2405</f>
        <v>COLLEGE OF MIDWIFERY, TUDUN WADA, KADUNA -TOTAL</v>
      </c>
      <c r="C271" s="5"/>
      <c r="D271" s="104">
        <f>SUM(D269:D270)</f>
        <v>95779554</v>
      </c>
      <c r="E271" s="114">
        <f>SUM(E269:E270)</f>
        <v>107385700</v>
      </c>
      <c r="F271" s="490">
        <f t="shared" ref="F271:G271" si="87">SUM(F269:F270)</f>
        <v>938995.35</v>
      </c>
      <c r="G271" s="468">
        <f t="shared" si="87"/>
        <v>106446704.65000001</v>
      </c>
      <c r="H271" s="113">
        <f>SUM(H269:H270)</f>
        <v>96213700</v>
      </c>
      <c r="I271" s="113">
        <f>SUM(I269:I270)</f>
        <v>95823700</v>
      </c>
    </row>
    <row r="272" spans="1:9" s="38" customFormat="1">
      <c r="A272" s="129" t="str">
        <f>BREAKDOWN!A2407</f>
        <v>052111500100</v>
      </c>
      <c r="B272" s="105" t="str">
        <f>BREAKDOWN!B2407</f>
        <v>BARAU DIKKO TEACHING HOSPITAL, KADUNA</v>
      </c>
      <c r="C272" s="75" t="str">
        <f>BREAKDOWN!C2409</f>
        <v>Personnel Cost- Total</v>
      </c>
      <c r="D272" s="107">
        <v>0</v>
      </c>
      <c r="E272" s="297">
        <f>BREAKDOWN!J2409</f>
        <v>922857759.50999999</v>
      </c>
      <c r="F272" s="491">
        <f>BREAKDOWN!K2409</f>
        <v>0</v>
      </c>
      <c r="G272" s="467">
        <f>BREAKDOWN!L2409</f>
        <v>922857759.50999999</v>
      </c>
      <c r="H272" s="4">
        <f>BREAKDOWN!M2409</f>
        <v>1015143535.4610001</v>
      </c>
      <c r="I272" s="4">
        <f>BREAKDOWN!N2409</f>
        <v>1116657889.0071001</v>
      </c>
    </row>
    <row r="273" spans="1:9" s="38" customFormat="1">
      <c r="A273" s="129"/>
      <c r="B273" s="105"/>
      <c r="C273" s="75" t="str">
        <f>BREAKDOWN!C2425</f>
        <v>Overhead Cost- Total</v>
      </c>
      <c r="D273" s="107">
        <v>0</v>
      </c>
      <c r="E273" s="297">
        <f>BREAKDOWN!J2425</f>
        <v>95980132.519999996</v>
      </c>
      <c r="F273" s="491">
        <f>BREAKDOWN!K2425</f>
        <v>4203929.8043759996</v>
      </c>
      <c r="G273" s="467">
        <f>BREAKDOWN!L2425</f>
        <v>91776202.715624005</v>
      </c>
      <c r="H273" s="4">
        <f>BREAKDOWN!M2425</f>
        <v>105578145.772</v>
      </c>
      <c r="I273" s="4">
        <f>BREAKDOWN!N2425</f>
        <v>116135960.34920001</v>
      </c>
    </row>
    <row r="274" spans="1:9" s="9" customFormat="1" ht="30">
      <c r="A274" s="128"/>
      <c r="B274" s="103" t="str">
        <f>BREAKDOWN!B2426</f>
        <v>BARAU DIKKO TEACHING HOSPITAL, KADUNA -TOTAL</v>
      </c>
      <c r="C274" s="5"/>
      <c r="D274" s="104"/>
      <c r="E274" s="114">
        <f>SUM(E272:E273)</f>
        <v>1018837892.03</v>
      </c>
      <c r="F274" s="490">
        <f t="shared" ref="F274:G274" si="88">SUM(F272:F273)</f>
        <v>4203929.8043759996</v>
      </c>
      <c r="G274" s="468">
        <f t="shared" si="88"/>
        <v>1014633962.225624</v>
      </c>
      <c r="H274" s="113">
        <f>SUM(H272:H273)</f>
        <v>1120721681.233</v>
      </c>
      <c r="I274" s="113">
        <f>SUM(I272:I273)</f>
        <v>1232793849.3563001</v>
      </c>
    </row>
    <row r="275" spans="1:9">
      <c r="A275" s="127" t="str">
        <f>BREAKDOWN!A2428</f>
        <v>055100100100</v>
      </c>
      <c r="B275" s="121" t="str">
        <f>BREAKDOWN!B2428</f>
        <v xml:space="preserve">MINISTRY FOR LOCAL GOVERNMENT  </v>
      </c>
      <c r="C275" s="3" t="str">
        <f>BREAKDOWN!C2429</f>
        <v>Personnel Cost- Total</v>
      </c>
      <c r="D275" s="124">
        <v>89172871</v>
      </c>
      <c r="E275" s="28">
        <f>BREAKDOWN!J2429</f>
        <v>85778040.780000001</v>
      </c>
      <c r="F275" s="488">
        <f>BREAKDOWN!K2429</f>
        <v>0</v>
      </c>
      <c r="G275" s="469">
        <f>BREAKDOWN!L2429</f>
        <v>85778040.780000001</v>
      </c>
      <c r="H275" s="4">
        <f>BREAKDOWN!M2429</f>
        <v>94355844.857999995</v>
      </c>
      <c r="I275" s="4">
        <f>BREAKDOWN!N2429</f>
        <v>103791429.34379999</v>
      </c>
    </row>
    <row r="276" spans="1:9">
      <c r="A276" s="127"/>
      <c r="B276" s="121"/>
      <c r="C276" s="3" t="str">
        <f>BREAKDOWN!C2443</f>
        <v>Overhead Cost- Total</v>
      </c>
      <c r="D276" s="124">
        <v>454445000</v>
      </c>
      <c r="E276" s="28">
        <f>BREAKDOWN!J2443</f>
        <v>465980436.63999999</v>
      </c>
      <c r="F276" s="488">
        <f>BREAKDOWN!K2443</f>
        <v>20409943.124831997</v>
      </c>
      <c r="G276" s="469">
        <f>BREAKDOWN!L2443</f>
        <v>445570493.51516807</v>
      </c>
      <c r="H276" s="4">
        <f>BREAKDOWN!M2443</f>
        <v>466080436.63999999</v>
      </c>
      <c r="I276" s="4">
        <f>BREAKDOWN!N2443</f>
        <v>466190436.63999999</v>
      </c>
    </row>
    <row r="277" spans="1:9" s="9" customFormat="1">
      <c r="A277" s="128"/>
      <c r="B277" s="103" t="str">
        <f>BREAKDOWN!B2444</f>
        <v>MINISTRY FOR LOCAL GOVERNMENT  - TOTAL</v>
      </c>
      <c r="C277" s="5"/>
      <c r="D277" s="104">
        <f>SUM(D275:D276)</f>
        <v>543617871</v>
      </c>
      <c r="E277" s="114">
        <f>SUM(E275:E276)</f>
        <v>551758477.41999996</v>
      </c>
      <c r="F277" s="490">
        <f t="shared" ref="F277:G277" si="89">SUM(F275:F276)</f>
        <v>20409943.124831997</v>
      </c>
      <c r="G277" s="468">
        <f t="shared" si="89"/>
        <v>531348534.29516804</v>
      </c>
      <c r="H277" s="113">
        <f>SUM(H275:H276)</f>
        <v>560436281.49800003</v>
      </c>
      <c r="I277" s="113">
        <f>SUM(I275:I276)</f>
        <v>569981865.98379993</v>
      </c>
    </row>
    <row r="278" spans="1:9" ht="30">
      <c r="A278" s="127" t="str">
        <f>BREAKDOWN!A2446</f>
        <v>011100100100</v>
      </c>
      <c r="B278" s="121" t="str">
        <f>BREAKDOWN!B2446</f>
        <v>KADUNA INVESTMENT PROMOTION AGENCY (KADIPA)</v>
      </c>
      <c r="C278" s="3" t="str">
        <f>BREAKDOWN!C2447</f>
        <v>Personnel Cost -Total</v>
      </c>
      <c r="D278" s="124">
        <v>0</v>
      </c>
      <c r="E278" s="28">
        <f>BREAKDOWN!J2447</f>
        <v>89341734</v>
      </c>
      <c r="F278" s="488">
        <f>BREAKDOWN!K2447</f>
        <v>0</v>
      </c>
      <c r="G278" s="469">
        <f>BREAKDOWN!L2447</f>
        <v>89341734</v>
      </c>
      <c r="H278" s="4">
        <f>BREAKDOWN!M2447</f>
        <v>98275907.400000006</v>
      </c>
      <c r="I278" s="4">
        <f>BREAKDOWN!N2447</f>
        <v>108103498.14</v>
      </c>
    </row>
    <row r="279" spans="1:9">
      <c r="A279" s="127"/>
      <c r="B279" s="121"/>
      <c r="C279" s="3" t="str">
        <f>BREAKDOWN!C2477</f>
        <v>Overhead Cost -Total</v>
      </c>
      <c r="D279" s="124">
        <v>0</v>
      </c>
      <c r="E279" s="28">
        <f>BREAKDOWN!J2477</f>
        <v>70144500</v>
      </c>
      <c r="F279" s="488">
        <f>BREAKDOWN!K2477</f>
        <v>3072329.1</v>
      </c>
      <c r="G279" s="469">
        <f>BREAKDOWN!L2477</f>
        <v>67072170.899999999</v>
      </c>
      <c r="H279" s="4">
        <f>BREAKDOWN!M2477</f>
        <v>204148750</v>
      </c>
      <c r="I279" s="4">
        <f>BREAKDOWN!N2477</f>
        <v>204148750</v>
      </c>
    </row>
    <row r="280" spans="1:9" s="9" customFormat="1" ht="30">
      <c r="A280" s="128"/>
      <c r="B280" s="103" t="str">
        <f>BREAKDOWN!B2478</f>
        <v>KADUNA INVESTMENT PROMOTION AGENCY (KADIPA)- TOTAL</v>
      </c>
      <c r="C280" s="5"/>
      <c r="D280" s="104"/>
      <c r="E280" s="114">
        <f>SUM(E278:E279)</f>
        <v>159486234</v>
      </c>
      <c r="F280" s="490">
        <f t="shared" ref="F280:G280" si="90">SUM(F278:F279)</f>
        <v>3072329.1</v>
      </c>
      <c r="G280" s="468">
        <f t="shared" si="90"/>
        <v>156413904.90000001</v>
      </c>
      <c r="H280" s="113">
        <f>SUM(H278:H279)</f>
        <v>302424657.39999998</v>
      </c>
      <c r="I280" s="113">
        <f>SUM(I278:I279)</f>
        <v>312252248.13999999</v>
      </c>
    </row>
    <row r="281" spans="1:9" s="38" customFormat="1" ht="15.75">
      <c r="A281" s="129"/>
      <c r="B281" s="231" t="s">
        <v>716</v>
      </c>
      <c r="C281" s="30"/>
      <c r="D281" s="248">
        <f>D3+D6+D9+D12+D15+D18+D21+D24+D30+D33+D36+D39+D44+D49+D52+D55+D58+D61+D64+D67+D70+D73+D76+D79+D82+D85+D88+D91+D94+D97+D100+D103+D106+D109+D114+D117+D120+D123+D126+D129+D132+D135+D138+D141+D144+D147+D150+D153+D156+D159+D162+D165+D168+D171+D174+D177+D180+D183+D186+D189+D192+D195+D198+D201+D204+D207+D210+D213+D216+D219+D222+D228+D231+D234+D237+D240+D243+D246+D249+D254+D257+D260+D263+D266+D269+D275+D278</f>
        <v>31836241841</v>
      </c>
      <c r="E281" s="306">
        <f>E3+E6+E9+E12+E15+E18+E21+E24+E27+E30+E33+E36+E39+E44+E49+E52+E55+E58+E61+E64+E67+E70+E73+E79+E82+E85+E88+E91+E94+E97+E100+E103+E106+E109+E114+E117+E120+E123+E126+E129+E132+E135+E138+E141+E144+E147+E150+E153+E156+E159+E162+E165+E168+E171+E174+E177+E180+E183+E186+E189+E192+E195+E198+E201+E204+E207+E210+E213+E216+E219+E222+E225+E228+E231+E234+E237+E240+E243+E246+E249+E254+E257+E260+E263+E266+E269+E272+E275+E278</f>
        <v>39791025264.36702</v>
      </c>
      <c r="F281" s="492">
        <f t="shared" ref="F281:G281" si="91">F3+F6+F9+F12+F15+F18+F21+F24+F27+F30+F33+F36+F39+F44+F49+F52+F55+F58+F61+F64+F67+F70+F73+F79+F82+F85+F88+F91+F94+F97+F100+F103+F106+F109+F114+F117+F120+F123+F126+F129+F132+F135+F138+F141+F144+F147+F150+F153+F156+F159+F162+F165+F168+F171+F174+F177+F180+F183+F186+F189+F192+F195+F198+F201+F204+F207+F210+F213+F216+F219+F222+F225+F228+F231+F234+F237+F240+F243+F246+F249+F254+F257+F260+F263+F266+F269+F272+F275+F278</f>
        <v>0</v>
      </c>
      <c r="G281" s="481">
        <f t="shared" si="91"/>
        <v>39791025264.36702</v>
      </c>
      <c r="H281" s="306">
        <f t="shared" ref="H281:I281" si="92">H3+H6+H9+H12+H15+H18+H21+H24+H27+H30+H33+H36+H39+H44+H49+H52+H55+H58+H61+H64+H67+H70+H73+H79+H82+H85+H88+H91+H94+H97+H100+H103+H106+H109+H114+H117+H120+H123+H126+H129+H132+H135+H138+H141+H144+H147+H150+H153+H156+H159+H162+H165+H168+H171+H174+H177+H180+H183+H186+H189+H192+H195+H198+H201+H204+H207+H210+H213+H216+H219+H222+H225+H228+H231+H234+H237+H240+H243+H246+H249+H254+H257+H260+H263+H266+H269+H272+H275+H278</f>
        <v>43414807911.572975</v>
      </c>
      <c r="I281" s="306">
        <f t="shared" si="92"/>
        <v>47531781277.51326</v>
      </c>
    </row>
    <row r="282" spans="1:9" ht="15.75">
      <c r="A282" s="127"/>
      <c r="B282" s="231" t="s">
        <v>717</v>
      </c>
      <c r="C282" s="30"/>
      <c r="D282" s="248">
        <f>D4+D7+D10+D13+D16+D19+D22+D25+D31+D34+D37+D40+D42+D45+D47+D50+D53+D56+D59+D62+D65+D68+D71+D74+D77+D80+D83+D86+D89+D92+D95+D98+D101+D104+D107+D110+D112+D115+D118+D121+D124+D127+D130+D133+D136+D139+D142+D145+D148+D151+D154+D157+D160+D163+D166+D169+D172+D175+D178+D181+D184+D187+D190+D193+D196+D199+D202+D205+D208+D211+D214+D217+D220+D223+D229+D232+D235+D238+D241+D244+D247+D250+D252+D255+D258+D261+D264+D267+D270+D276+D279</f>
        <v>32213730401</v>
      </c>
      <c r="E282" s="306">
        <f>E4+E7+E10+E13+E16+E19+E22+E25+E28+E31+E34+E37+E40+E42+E45+E47+E50+E53+E56+E59+E62+E65+E68+E71+E74+E80+E83+E86+E89+E92+E95+E98+E101+E104+E107+E110+E115+E118+E121+E124+E127+E130+E133+E136+E139+E142+E145+E148+E151+E154+E157+E160+E163+E166+E169+E172+E175+E178+E181+E184+E187+E190+E193+E196+E199+E202+E205+E208+E211+E214+E217+E220+E223+E226+E229+E232+E235+E238+E241+E244+E247+E250+E252+E255+E258+E261+E264+E267+E270+E273+E276+E279</f>
        <v>45674824860.031601</v>
      </c>
      <c r="F282" s="492">
        <f t="shared" ref="F282:G282" si="93">F4+F7+F10+F13+F16+F19+F22+F25+F28+F31+F34+F37+F40+F42+F45+F47+F50+F53+F56+F59+F62+F65+F68+F71+F74+F80+F83+F86+F89+F92+F95+F98+F101+F104+F107+F110+F115+F118+F121+F124+F127+F130+F133+F136+F139+F142+F145+F148+F151+F154+F157+F160+F163+F166+F169+F172+F175+F178+F181+F184+F187+F190+F193+F196+F199+F202+F205+F208+F211+F214+F217+F220+F223+F226+F229+F232+F235+F238+F241+F244+F247+F250+F252+F255+F258+F261+F264+F267+F270+F273+F276+F279</f>
        <v>2000557328.8693836</v>
      </c>
      <c r="G282" s="481">
        <f t="shared" si="93"/>
        <v>43674267531.162216</v>
      </c>
      <c r="H282" s="306">
        <f t="shared" ref="H282:I282" si="94">H4+H7+H10+H13+H16+H19+H22+H25+H28+H31+H34+H37+H40+H42+H45+H47+H50+H53+H56+H59+H62+H65+H68+H71+H74+H80+H83+H86+H89+H92+H95+H98+H101+H104+H107+H110+H115+H118+H121+H124+H127+H130+H133+H136+H139+H142+H145+H148+H151+H154+H157+H160+H163+H166+H169+H172+H175+H178+H181+H184+H187+H190+H193+H196+H199+H202+H205+H208+H211+H214+H217+H220+H223+H226+H229+H232+H235+H238+H241+H244+H247+H250+H252+H255+H258+H261+H264+H267+H270+H273+H276+H279</f>
        <v>38660190160.658607</v>
      </c>
      <c r="I282" s="306">
        <f t="shared" si="94"/>
        <v>39225716456.095802</v>
      </c>
    </row>
    <row r="283" spans="1:9" s="115" customFormat="1" ht="15.75">
      <c r="A283" s="436"/>
      <c r="B283" s="437" t="s">
        <v>165</v>
      </c>
      <c r="C283" s="438"/>
      <c r="D283" s="248">
        <f>SUM(D281:D282)</f>
        <v>64049972242</v>
      </c>
      <c r="E283" s="306">
        <f>SUM(E281:E282)</f>
        <v>85465850124.398621</v>
      </c>
      <c r="F283" s="492">
        <f t="shared" ref="F283:G283" si="95">SUM(F281:F282)</f>
        <v>2000557328.8693836</v>
      </c>
      <c r="G283" s="481">
        <f t="shared" si="95"/>
        <v>83465292795.529236</v>
      </c>
      <c r="H283" s="306">
        <f t="shared" ref="H283:I283" si="96">SUM(H281:H282)</f>
        <v>82074998072.231583</v>
      </c>
      <c r="I283" s="306">
        <f t="shared" si="96"/>
        <v>86757497733.60907</v>
      </c>
    </row>
    <row r="284" spans="1:9" s="122" customFormat="1" ht="18.75">
      <c r="A284" s="327"/>
      <c r="B284" s="328"/>
      <c r="C284" s="329"/>
      <c r="D284" s="330"/>
      <c r="E284" s="331"/>
      <c r="F284" s="493"/>
      <c r="G284" s="482"/>
      <c r="H284" s="460"/>
      <c r="I284" s="460"/>
    </row>
    <row r="285" spans="1:9" s="122" customFormat="1" ht="18.75">
      <c r="A285" s="327"/>
      <c r="B285" s="328"/>
      <c r="C285" s="329"/>
      <c r="D285" s="330"/>
      <c r="E285" s="460"/>
      <c r="F285" s="494"/>
      <c r="G285" s="483"/>
      <c r="H285" s="331"/>
      <c r="I285" s="331"/>
    </row>
    <row r="286" spans="1:9">
      <c r="E286" s="304"/>
      <c r="F286" s="495"/>
      <c r="G286" s="484"/>
      <c r="H286" s="2"/>
      <c r="I286" s="2"/>
    </row>
    <row r="287" spans="1:9" ht="18.75">
      <c r="D287" s="131"/>
      <c r="E287" s="453"/>
      <c r="F287" s="496"/>
      <c r="G287" s="485"/>
      <c r="H287" s="2"/>
      <c r="I287" s="2"/>
    </row>
    <row r="288" spans="1:9" ht="15.75">
      <c r="B288" s="439"/>
      <c r="C288" s="440"/>
      <c r="D288" s="110"/>
      <c r="E288" s="453"/>
      <c r="F288" s="496"/>
      <c r="G288" s="485"/>
      <c r="H288" s="2"/>
      <c r="I288" s="2"/>
    </row>
    <row r="289" spans="2:9" ht="18.75">
      <c r="B289" s="439"/>
      <c r="C289" s="328"/>
      <c r="D289" s="110"/>
      <c r="E289" s="454"/>
      <c r="F289" s="497"/>
      <c r="G289" s="486"/>
      <c r="H289" s="2"/>
      <c r="I289" s="2"/>
    </row>
    <row r="290" spans="2:9">
      <c r="B290" s="439"/>
      <c r="C290" s="440"/>
      <c r="D290" s="110"/>
    </row>
    <row r="291" spans="2:9">
      <c r="B291" s="439"/>
      <c r="C291" s="440"/>
      <c r="D291" s="110"/>
    </row>
    <row r="292" spans="2:9">
      <c r="B292" s="439"/>
      <c r="C292" s="440"/>
      <c r="D292" s="110"/>
    </row>
    <row r="293" spans="2:9">
      <c r="B293" s="439"/>
      <c r="C293" s="440"/>
      <c r="D293" s="110"/>
    </row>
  </sheetData>
  <autoFilter ref="A1:I28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1">
    <mergeCell ref="A1:I1"/>
  </mergeCells>
  <printOptions horizontalCentered="1"/>
  <pageMargins left="0.56000000000000005" right="0.19685039370078741" top="0.56999999999999995" bottom="0.63" header="0.31496062992125984" footer="0.31496062992125984"/>
  <pageSetup paperSize="9" scale="87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493"/>
  <sheetViews>
    <sheetView topLeftCell="E2417" zoomScale="110" zoomScaleNormal="110" zoomScaleSheetLayoutView="90" workbookViewId="0">
      <selection activeCell="K2433" sqref="K2433"/>
    </sheetView>
  </sheetViews>
  <sheetFormatPr defaultRowHeight="15"/>
  <cols>
    <col min="1" max="1" width="13.42578125" style="130" customWidth="1"/>
    <col min="2" max="2" width="38.85546875" style="108" customWidth="1"/>
    <col min="3" max="3" width="17.140625" customWidth="1"/>
    <col min="4" max="4" width="10.7109375" customWidth="1"/>
    <col min="5" max="5" width="40.28515625" customWidth="1"/>
    <col min="6" max="6" width="19.28515625" style="20" hidden="1" customWidth="1"/>
    <col min="7" max="9" width="19.28515625" style="109" hidden="1" customWidth="1"/>
    <col min="10" max="10" width="24.5703125" style="220" customWidth="1"/>
    <col min="11" max="11" width="24.5703125" style="498" customWidth="1"/>
    <col min="12" max="12" width="22.7109375" style="472" customWidth="1"/>
    <col min="13" max="13" width="22.7109375" style="109" customWidth="1"/>
    <col min="14" max="14" width="19.7109375" customWidth="1"/>
    <col min="15" max="15" width="17.7109375" customWidth="1"/>
  </cols>
  <sheetData>
    <row r="1" spans="1:14" ht="23.25">
      <c r="A1" s="249" t="s">
        <v>718</v>
      </c>
      <c r="B1" s="445"/>
      <c r="C1" s="132"/>
      <c r="D1" s="132"/>
      <c r="E1" s="132"/>
      <c r="F1" s="214"/>
      <c r="G1" s="133"/>
      <c r="H1" s="133"/>
      <c r="I1" s="133"/>
      <c r="J1" s="461"/>
      <c r="K1" s="499"/>
      <c r="L1" s="464"/>
      <c r="M1" s="133"/>
      <c r="N1" s="132"/>
    </row>
    <row r="2" spans="1:14">
      <c r="A2" s="250"/>
      <c r="B2" s="446"/>
      <c r="C2" s="80"/>
      <c r="D2" s="79"/>
      <c r="E2" s="134"/>
      <c r="F2" s="215"/>
      <c r="G2" s="110"/>
      <c r="H2" s="110"/>
      <c r="I2" s="110"/>
      <c r="J2" s="215"/>
      <c r="K2" s="500"/>
      <c r="L2" s="465"/>
      <c r="M2" s="110"/>
      <c r="N2" s="110"/>
    </row>
    <row r="3" spans="1:14" s="20" customFormat="1" ht="45">
      <c r="A3" s="251" t="s">
        <v>702</v>
      </c>
      <c r="B3" s="246" t="s">
        <v>719</v>
      </c>
      <c r="C3" s="246" t="s">
        <v>720</v>
      </c>
      <c r="D3" s="246" t="s">
        <v>721</v>
      </c>
      <c r="E3" s="246" t="s">
        <v>722</v>
      </c>
      <c r="F3" s="246" t="s">
        <v>706</v>
      </c>
      <c r="G3" s="247" t="s">
        <v>1711</v>
      </c>
      <c r="H3" s="247" t="s">
        <v>2605</v>
      </c>
      <c r="I3" s="247" t="s">
        <v>2606</v>
      </c>
      <c r="J3" s="247" t="s">
        <v>1711</v>
      </c>
      <c r="K3" s="487" t="s">
        <v>2636</v>
      </c>
      <c r="L3" s="466" t="s">
        <v>2637</v>
      </c>
      <c r="M3" s="247" t="s">
        <v>723</v>
      </c>
      <c r="N3" s="247" t="s">
        <v>724</v>
      </c>
    </row>
    <row r="4" spans="1:14" s="20" customFormat="1" ht="21">
      <c r="A4" s="252"/>
      <c r="B4" s="443"/>
      <c r="C4" s="228"/>
      <c r="D4" s="229"/>
      <c r="E4" s="230"/>
      <c r="F4" s="215"/>
      <c r="G4" s="215"/>
      <c r="H4" s="215"/>
      <c r="I4" s="215"/>
      <c r="J4" s="215"/>
      <c r="K4" s="500"/>
      <c r="L4" s="465"/>
      <c r="M4" s="215"/>
      <c r="N4" s="215"/>
    </row>
    <row r="5" spans="1:14" s="20" customFormat="1">
      <c r="A5" s="238" t="s">
        <v>707</v>
      </c>
      <c r="B5" s="231" t="s">
        <v>161</v>
      </c>
      <c r="C5" s="32" t="s">
        <v>46</v>
      </c>
      <c r="D5" s="77">
        <v>21010101</v>
      </c>
      <c r="E5" s="135" t="s">
        <v>725</v>
      </c>
      <c r="F5" s="136">
        <f>42614426.04+19062717.16</f>
        <v>61677143.200000003</v>
      </c>
      <c r="G5" s="28">
        <f>42614426.04+19062717.16</f>
        <v>61677143.200000003</v>
      </c>
      <c r="H5" s="28"/>
      <c r="I5" s="28"/>
      <c r="J5" s="28">
        <v>61677143.200000003</v>
      </c>
      <c r="K5" s="488"/>
      <c r="L5" s="467">
        <v>61677143.200000003</v>
      </c>
      <c r="M5" s="28">
        <v>43055777.688000001</v>
      </c>
      <c r="N5" s="28">
        <v>47361355.456799999</v>
      </c>
    </row>
    <row r="6" spans="1:14" s="20" customFormat="1">
      <c r="A6" s="253"/>
      <c r="B6" s="231"/>
      <c r="C6" s="32" t="s">
        <v>46</v>
      </c>
      <c r="D6" s="77">
        <v>21020101</v>
      </c>
      <c r="E6" s="135" t="s">
        <v>726</v>
      </c>
      <c r="F6" s="136">
        <v>9216066</v>
      </c>
      <c r="G6" s="28">
        <v>9216066</v>
      </c>
      <c r="H6" s="28"/>
      <c r="I6" s="28"/>
      <c r="J6" s="28">
        <v>9216066</v>
      </c>
      <c r="K6" s="488"/>
      <c r="L6" s="467">
        <v>9216066</v>
      </c>
      <c r="M6" s="28">
        <v>9331796.7600000016</v>
      </c>
      <c r="N6" s="28">
        <v>10264976.436000003</v>
      </c>
    </row>
    <row r="7" spans="1:14" s="20" customFormat="1">
      <c r="A7" s="253"/>
      <c r="B7" s="231"/>
      <c r="C7" s="32" t="s">
        <v>46</v>
      </c>
      <c r="D7" s="77">
        <v>21020102</v>
      </c>
      <c r="E7" s="135" t="s">
        <v>727</v>
      </c>
      <c r="F7" s="136">
        <v>3427227</v>
      </c>
      <c r="G7" s="28">
        <v>3427227</v>
      </c>
      <c r="H7" s="28"/>
      <c r="I7" s="28"/>
      <c r="J7" s="28">
        <v>3427227</v>
      </c>
      <c r="K7" s="488"/>
      <c r="L7" s="467">
        <v>3427227</v>
      </c>
      <c r="M7" s="28">
        <v>3447599.2320000017</v>
      </c>
      <c r="N7" s="28">
        <v>3792359.1552000018</v>
      </c>
    </row>
    <row r="8" spans="1:14" s="20" customFormat="1">
      <c r="A8" s="253"/>
      <c r="B8" s="231"/>
      <c r="C8" s="32" t="s">
        <v>46</v>
      </c>
      <c r="D8" s="77">
        <v>21020103</v>
      </c>
      <c r="E8" s="135" t="s">
        <v>728</v>
      </c>
      <c r="F8" s="136">
        <v>1711941.84</v>
      </c>
      <c r="G8" s="28">
        <v>1711941.84</v>
      </c>
      <c r="H8" s="28"/>
      <c r="I8" s="28"/>
      <c r="J8" s="28">
        <v>1711941.84</v>
      </c>
      <c r="K8" s="488"/>
      <c r="L8" s="467">
        <v>1711941.84</v>
      </c>
      <c r="M8" s="28">
        <v>1721960.8560000004</v>
      </c>
      <c r="N8" s="28">
        <v>1894156.9416000005</v>
      </c>
    </row>
    <row r="9" spans="1:14" s="20" customFormat="1">
      <c r="A9" s="253"/>
      <c r="B9" s="231"/>
      <c r="C9" s="32" t="s">
        <v>46</v>
      </c>
      <c r="D9" s="77">
        <v>21020104</v>
      </c>
      <c r="E9" s="135" t="s">
        <v>729</v>
      </c>
      <c r="F9" s="136">
        <v>1711984.56</v>
      </c>
      <c r="G9" s="28">
        <v>1711984.56</v>
      </c>
      <c r="H9" s="28"/>
      <c r="I9" s="28"/>
      <c r="J9" s="28">
        <v>1711984.56</v>
      </c>
      <c r="K9" s="488"/>
      <c r="L9" s="467">
        <v>1711984.56</v>
      </c>
      <c r="M9" s="28">
        <v>1721960.8560000004</v>
      </c>
      <c r="N9" s="28">
        <v>1894156.9416000005</v>
      </c>
    </row>
    <row r="10" spans="1:14" s="20" customFormat="1">
      <c r="A10" s="253"/>
      <c r="B10" s="231"/>
      <c r="C10" s="32" t="s">
        <v>46</v>
      </c>
      <c r="D10" s="77">
        <v>21020105</v>
      </c>
      <c r="E10" s="135" t="s">
        <v>730</v>
      </c>
      <c r="F10" s="136">
        <v>109072.44</v>
      </c>
      <c r="G10" s="28">
        <v>109072.44</v>
      </c>
      <c r="H10" s="28"/>
      <c r="I10" s="28"/>
      <c r="J10" s="28">
        <v>109072.44</v>
      </c>
      <c r="K10" s="488"/>
      <c r="L10" s="467">
        <v>109072.44</v>
      </c>
      <c r="M10" s="28">
        <v>119979.68399999998</v>
      </c>
      <c r="N10" s="28">
        <v>131977.65239999996</v>
      </c>
    </row>
    <row r="11" spans="1:14" s="20" customFormat="1">
      <c r="A11" s="253"/>
      <c r="B11" s="231"/>
      <c r="C11" s="32" t="s">
        <v>46</v>
      </c>
      <c r="D11" s="77">
        <v>21020106</v>
      </c>
      <c r="E11" s="135" t="s">
        <v>731</v>
      </c>
      <c r="F11" s="136">
        <v>4261442.5999999996</v>
      </c>
      <c r="G11" s="28">
        <v>4261442.5999999996</v>
      </c>
      <c r="H11" s="28"/>
      <c r="I11" s="28"/>
      <c r="J11" s="28">
        <v>4261442.5999999996</v>
      </c>
      <c r="K11" s="488"/>
      <c r="L11" s="467">
        <v>4261442.5999999996</v>
      </c>
      <c r="M11" s="28">
        <v>4287613.301400003</v>
      </c>
      <c r="N11" s="28">
        <v>4716374.6315400032</v>
      </c>
    </row>
    <row r="12" spans="1:14" s="20" customFormat="1">
      <c r="A12" s="253"/>
      <c r="B12" s="231"/>
      <c r="C12" s="32" t="s">
        <v>46</v>
      </c>
      <c r="D12" s="77">
        <v>21020107</v>
      </c>
      <c r="E12" s="135" t="s">
        <v>732</v>
      </c>
      <c r="F12" s="136">
        <v>1296000</v>
      </c>
      <c r="G12" s="28">
        <v>1296000</v>
      </c>
      <c r="H12" s="28"/>
      <c r="I12" s="28"/>
      <c r="J12" s="28">
        <v>1296000</v>
      </c>
      <c r="K12" s="488"/>
      <c r="L12" s="467">
        <v>1296000</v>
      </c>
      <c r="M12" s="28">
        <v>1425600</v>
      </c>
      <c r="N12" s="28">
        <v>1568160</v>
      </c>
    </row>
    <row r="13" spans="1:14" s="20" customFormat="1">
      <c r="A13" s="253"/>
      <c r="B13" s="231"/>
      <c r="C13" s="32" t="s">
        <v>46</v>
      </c>
      <c r="D13" s="77">
        <v>21020110</v>
      </c>
      <c r="E13" s="135" t="s">
        <v>733</v>
      </c>
      <c r="F13" s="136">
        <v>1645408.8</v>
      </c>
      <c r="G13" s="28">
        <v>1645408.8</v>
      </c>
      <c r="H13" s="28"/>
      <c r="I13" s="28"/>
      <c r="J13" s="28">
        <v>1645408.8</v>
      </c>
      <c r="K13" s="488"/>
      <c r="L13" s="467">
        <v>1645408.8</v>
      </c>
      <c r="M13" s="28">
        <v>1718640</v>
      </c>
      <c r="N13" s="28">
        <v>1890504</v>
      </c>
    </row>
    <row r="14" spans="1:14" s="20" customFormat="1">
      <c r="A14" s="253"/>
      <c r="B14" s="231"/>
      <c r="C14" s="32" t="s">
        <v>46</v>
      </c>
      <c r="D14" s="77">
        <v>21020124</v>
      </c>
      <c r="E14" s="135" t="s">
        <v>734</v>
      </c>
      <c r="F14" s="136">
        <v>336000</v>
      </c>
      <c r="G14" s="28">
        <v>336000</v>
      </c>
      <c r="H14" s="28"/>
      <c r="I14" s="28"/>
      <c r="J14" s="28">
        <v>336000</v>
      </c>
      <c r="K14" s="488"/>
      <c r="L14" s="467">
        <v>336000</v>
      </c>
      <c r="M14" s="28">
        <v>277200</v>
      </c>
      <c r="N14" s="28">
        <v>304920</v>
      </c>
    </row>
    <row r="15" spans="1:14" s="20" customFormat="1">
      <c r="A15" s="253"/>
      <c r="B15" s="231"/>
      <c r="C15" s="32" t="s">
        <v>46</v>
      </c>
      <c r="D15" s="77">
        <v>21020127</v>
      </c>
      <c r="E15" s="135" t="s">
        <v>1714</v>
      </c>
      <c r="F15" s="136">
        <v>10850635.49</v>
      </c>
      <c r="G15" s="28">
        <v>0</v>
      </c>
      <c r="H15" s="28"/>
      <c r="I15" s="28"/>
      <c r="J15" s="28">
        <v>0</v>
      </c>
      <c r="K15" s="488"/>
      <c r="L15" s="467">
        <v>0</v>
      </c>
      <c r="M15" s="28">
        <v>0</v>
      </c>
      <c r="N15" s="28">
        <v>0</v>
      </c>
    </row>
    <row r="16" spans="1:14" s="20" customFormat="1">
      <c r="A16" s="253"/>
      <c r="B16" s="231"/>
      <c r="C16" s="30" t="s">
        <v>1836</v>
      </c>
      <c r="D16" s="23"/>
      <c r="E16" s="25"/>
      <c r="F16" s="137">
        <f>SUM(F5:F15)</f>
        <v>96242921.929999992</v>
      </c>
      <c r="G16" s="114">
        <f>SUM(G5:G15)</f>
        <v>85392286.439999998</v>
      </c>
      <c r="H16" s="114">
        <f t="shared" ref="H16:I16" si="0">SUM(H5:H15)</f>
        <v>0</v>
      </c>
      <c r="I16" s="114">
        <f t="shared" si="0"/>
        <v>0</v>
      </c>
      <c r="J16" s="114">
        <f>SUM(J5:J15)</f>
        <v>85392286.439999998</v>
      </c>
      <c r="K16" s="490"/>
      <c r="L16" s="468">
        <f>SUM(L5:L15)</f>
        <v>85392286.439999998</v>
      </c>
      <c r="M16" s="114">
        <f>SUM(M5:M15)</f>
        <v>67108128.377400003</v>
      </c>
      <c r="N16" s="114">
        <f>SUM(N5:N15)</f>
        <v>73818941.215140015</v>
      </c>
    </row>
    <row r="17" spans="1:14" s="20" customFormat="1">
      <c r="A17" s="253"/>
      <c r="B17" s="231"/>
      <c r="C17" s="32" t="s">
        <v>47</v>
      </c>
      <c r="D17" s="77">
        <v>22020105</v>
      </c>
      <c r="E17" s="135" t="s">
        <v>1733</v>
      </c>
      <c r="F17" s="136">
        <v>190080000</v>
      </c>
      <c r="G17" s="28">
        <v>150585000</v>
      </c>
      <c r="H17" s="28"/>
      <c r="I17" s="28"/>
      <c r="J17" s="28">
        <v>150585000</v>
      </c>
      <c r="K17" s="488">
        <f>J17*4.38%</f>
        <v>6595623</v>
      </c>
      <c r="L17" s="469">
        <v>143989377</v>
      </c>
      <c r="M17" s="28">
        <v>190080000</v>
      </c>
      <c r="N17" s="28">
        <v>190080000</v>
      </c>
    </row>
    <row r="18" spans="1:14" s="20" customFormat="1">
      <c r="A18" s="253"/>
      <c r="B18" s="231"/>
      <c r="C18" s="32" t="s">
        <v>47</v>
      </c>
      <c r="D18" s="77">
        <v>22020301</v>
      </c>
      <c r="E18" s="135" t="s">
        <v>737</v>
      </c>
      <c r="F18" s="136">
        <v>7402300</v>
      </c>
      <c r="G18" s="28">
        <v>7402300</v>
      </c>
      <c r="H18" s="28"/>
      <c r="I18" s="28"/>
      <c r="J18" s="28">
        <v>7402300</v>
      </c>
      <c r="K18" s="488">
        <f t="shared" ref="K18:K34" si="1">J18*4.38%</f>
        <v>324220.74</v>
      </c>
      <c r="L18" s="469">
        <v>7078079.2600000007</v>
      </c>
      <c r="M18" s="28">
        <v>7402300</v>
      </c>
      <c r="N18" s="28">
        <v>7402300</v>
      </c>
    </row>
    <row r="19" spans="1:14" s="20" customFormat="1">
      <c r="A19" s="253"/>
      <c r="B19" s="231"/>
      <c r="C19" s="32" t="s">
        <v>47</v>
      </c>
      <c r="D19" s="77">
        <v>22020303</v>
      </c>
      <c r="E19" s="135" t="s">
        <v>738</v>
      </c>
      <c r="F19" s="136">
        <v>8000000</v>
      </c>
      <c r="G19" s="28">
        <v>8000000</v>
      </c>
      <c r="H19" s="28"/>
      <c r="I19" s="28"/>
      <c r="J19" s="28">
        <v>8000000</v>
      </c>
      <c r="K19" s="488">
        <f t="shared" si="1"/>
        <v>350400</v>
      </c>
      <c r="L19" s="469">
        <v>7649600</v>
      </c>
      <c r="M19" s="28">
        <v>8000000</v>
      </c>
      <c r="N19" s="28">
        <v>8000000</v>
      </c>
    </row>
    <row r="20" spans="1:14" s="20" customFormat="1">
      <c r="A20" s="253"/>
      <c r="B20" s="231"/>
      <c r="C20" s="32" t="s">
        <v>47</v>
      </c>
      <c r="D20" s="77">
        <v>22020309</v>
      </c>
      <c r="E20" s="135" t="s">
        <v>739</v>
      </c>
      <c r="F20" s="136">
        <v>12000000</v>
      </c>
      <c r="G20" s="28">
        <v>5200000</v>
      </c>
      <c r="H20" s="28"/>
      <c r="I20" s="28"/>
      <c r="J20" s="28">
        <v>5200000</v>
      </c>
      <c r="K20" s="488">
        <f t="shared" si="1"/>
        <v>227760</v>
      </c>
      <c r="L20" s="469">
        <v>4972240</v>
      </c>
      <c r="M20" s="28">
        <v>12000000</v>
      </c>
      <c r="N20" s="28">
        <v>12000000</v>
      </c>
    </row>
    <row r="21" spans="1:14" s="20" customFormat="1">
      <c r="A21" s="253"/>
      <c r="B21" s="231"/>
      <c r="C21" s="32" t="s">
        <v>47</v>
      </c>
      <c r="D21" s="77">
        <v>22020315</v>
      </c>
      <c r="E21" s="135" t="s">
        <v>740</v>
      </c>
      <c r="F21" s="136">
        <v>62927000</v>
      </c>
      <c r="G21" s="28">
        <v>20927000</v>
      </c>
      <c r="H21" s="28"/>
      <c r="I21" s="28"/>
      <c r="J21" s="28">
        <v>20927000</v>
      </c>
      <c r="K21" s="488">
        <f t="shared" si="1"/>
        <v>916602.6</v>
      </c>
      <c r="L21" s="469">
        <v>20010397.400000002</v>
      </c>
      <c r="M21" s="28">
        <v>62927000</v>
      </c>
      <c r="N21" s="28">
        <v>62927000</v>
      </c>
    </row>
    <row r="22" spans="1:14" s="20" customFormat="1">
      <c r="A22" s="253"/>
      <c r="B22" s="231"/>
      <c r="C22" s="32" t="s">
        <v>47</v>
      </c>
      <c r="D22" s="77">
        <v>22020401</v>
      </c>
      <c r="E22" s="135" t="s">
        <v>741</v>
      </c>
      <c r="F22" s="136">
        <v>106250000</v>
      </c>
      <c r="G22" s="28">
        <v>40000000</v>
      </c>
      <c r="H22" s="28"/>
      <c r="I22" s="28"/>
      <c r="J22" s="28">
        <v>40000000</v>
      </c>
      <c r="K22" s="488">
        <f t="shared" si="1"/>
        <v>1752000</v>
      </c>
      <c r="L22" s="469">
        <v>38248000</v>
      </c>
      <c r="M22" s="28">
        <v>106250000</v>
      </c>
      <c r="N22" s="28">
        <v>106250000</v>
      </c>
    </row>
    <row r="23" spans="1:14" s="20" customFormat="1">
      <c r="A23" s="253"/>
      <c r="B23" s="231"/>
      <c r="C23" s="32" t="s">
        <v>47</v>
      </c>
      <c r="D23" s="77">
        <v>22020404</v>
      </c>
      <c r="E23" s="135" t="s">
        <v>742</v>
      </c>
      <c r="F23" s="136">
        <v>82094000</v>
      </c>
      <c r="G23" s="28">
        <v>40094000</v>
      </c>
      <c r="H23" s="28"/>
      <c r="I23" s="28"/>
      <c r="J23" s="28">
        <v>40094000</v>
      </c>
      <c r="K23" s="488">
        <f t="shared" si="1"/>
        <v>1756117.2</v>
      </c>
      <c r="L23" s="469">
        <v>38337882.800000004</v>
      </c>
      <c r="M23" s="28">
        <v>82094000</v>
      </c>
      <c r="N23" s="28">
        <v>82094000</v>
      </c>
    </row>
    <row r="24" spans="1:14" s="20" customFormat="1">
      <c r="A24" s="253"/>
      <c r="B24" s="231"/>
      <c r="C24" s="32" t="s">
        <v>47</v>
      </c>
      <c r="D24" s="77">
        <v>22020405</v>
      </c>
      <c r="E24" s="135" t="s">
        <v>743</v>
      </c>
      <c r="F24" s="136">
        <v>15000000</v>
      </c>
      <c r="G24" s="28">
        <v>15000000</v>
      </c>
      <c r="H24" s="28"/>
      <c r="I24" s="28"/>
      <c r="J24" s="28">
        <v>15000000</v>
      </c>
      <c r="K24" s="488">
        <f t="shared" si="1"/>
        <v>657000</v>
      </c>
      <c r="L24" s="469">
        <v>14343000</v>
      </c>
      <c r="M24" s="28">
        <v>15000000</v>
      </c>
      <c r="N24" s="28">
        <v>15000000</v>
      </c>
    </row>
    <row r="25" spans="1:14" s="20" customFormat="1">
      <c r="A25" s="253"/>
      <c r="B25" s="231"/>
      <c r="C25" s="32" t="s">
        <v>47</v>
      </c>
      <c r="D25" s="77">
        <v>22020415</v>
      </c>
      <c r="E25" s="135" t="s">
        <v>744</v>
      </c>
      <c r="F25" s="136">
        <v>60716000</v>
      </c>
      <c r="G25" s="28">
        <v>40716000</v>
      </c>
      <c r="H25" s="28"/>
      <c r="I25" s="28"/>
      <c r="J25" s="28">
        <v>40716000</v>
      </c>
      <c r="K25" s="488">
        <f t="shared" si="1"/>
        <v>1783360.8</v>
      </c>
      <c r="L25" s="469">
        <v>38932639.200000003</v>
      </c>
      <c r="M25" s="28">
        <v>60716000</v>
      </c>
      <c r="N25" s="28">
        <v>60716000</v>
      </c>
    </row>
    <row r="26" spans="1:14" s="20" customFormat="1">
      <c r="A26" s="253"/>
      <c r="B26" s="231"/>
      <c r="C26" s="32" t="s">
        <v>47</v>
      </c>
      <c r="D26" s="77">
        <v>22020516</v>
      </c>
      <c r="E26" s="135" t="s">
        <v>745</v>
      </c>
      <c r="F26" s="136">
        <v>252200000</v>
      </c>
      <c r="G26" s="28">
        <v>110000000</v>
      </c>
      <c r="H26" s="28"/>
      <c r="I26" s="28"/>
      <c r="J26" s="28">
        <v>110000000</v>
      </c>
      <c r="K26" s="488">
        <f t="shared" si="1"/>
        <v>4818000</v>
      </c>
      <c r="L26" s="469">
        <v>105182000</v>
      </c>
      <c r="M26" s="28">
        <v>252200000</v>
      </c>
      <c r="N26" s="28">
        <v>252200000</v>
      </c>
    </row>
    <row r="27" spans="1:14" s="20" customFormat="1">
      <c r="A27" s="253"/>
      <c r="B27" s="231"/>
      <c r="C27" s="32" t="s">
        <v>47</v>
      </c>
      <c r="D27" s="77">
        <v>22020608</v>
      </c>
      <c r="E27" s="135" t="s">
        <v>746</v>
      </c>
      <c r="F27" s="136">
        <v>184400000</v>
      </c>
      <c r="G27" s="28">
        <v>50000000</v>
      </c>
      <c r="H27" s="28"/>
      <c r="I27" s="28"/>
      <c r="J27" s="28">
        <v>50000000</v>
      </c>
      <c r="K27" s="488">
        <f t="shared" si="1"/>
        <v>2190000</v>
      </c>
      <c r="L27" s="469">
        <v>47810000</v>
      </c>
      <c r="M27" s="28">
        <v>184400000</v>
      </c>
      <c r="N27" s="28">
        <v>184400000</v>
      </c>
    </row>
    <row r="28" spans="1:14" s="20" customFormat="1">
      <c r="A28" s="253"/>
      <c r="B28" s="231"/>
      <c r="C28" s="32" t="s">
        <v>47</v>
      </c>
      <c r="D28" s="77">
        <v>22020801</v>
      </c>
      <c r="E28" s="135" t="s">
        <v>747</v>
      </c>
      <c r="F28" s="136">
        <v>40000000</v>
      </c>
      <c r="G28" s="28">
        <v>35000000</v>
      </c>
      <c r="H28" s="28"/>
      <c r="I28" s="28"/>
      <c r="J28" s="28">
        <v>35000000</v>
      </c>
      <c r="K28" s="488">
        <f t="shared" si="1"/>
        <v>1533000</v>
      </c>
      <c r="L28" s="469">
        <v>33467000</v>
      </c>
      <c r="M28" s="28">
        <v>40000000</v>
      </c>
      <c r="N28" s="28">
        <v>40000000</v>
      </c>
    </row>
    <row r="29" spans="1:14" s="20" customFormat="1">
      <c r="A29" s="253"/>
      <c r="B29" s="231"/>
      <c r="C29" s="32" t="s">
        <v>47</v>
      </c>
      <c r="D29" s="77">
        <v>22020803</v>
      </c>
      <c r="E29" s="135" t="s">
        <v>748</v>
      </c>
      <c r="F29" s="136">
        <v>150975000</v>
      </c>
      <c r="G29" s="28">
        <v>70000000</v>
      </c>
      <c r="H29" s="28"/>
      <c r="I29" s="28"/>
      <c r="J29" s="28">
        <v>70000000</v>
      </c>
      <c r="K29" s="488">
        <f t="shared" si="1"/>
        <v>3066000</v>
      </c>
      <c r="L29" s="469">
        <v>66934000</v>
      </c>
      <c r="M29" s="28">
        <v>150975000</v>
      </c>
      <c r="N29" s="28">
        <v>150975000</v>
      </c>
    </row>
    <row r="30" spans="1:14" s="20" customFormat="1">
      <c r="A30" s="253"/>
      <c r="B30" s="231"/>
      <c r="C30" s="32" t="s">
        <v>47</v>
      </c>
      <c r="D30" s="77">
        <v>22020901</v>
      </c>
      <c r="E30" s="135" t="s">
        <v>749</v>
      </c>
      <c r="F30" s="136">
        <v>2400000</v>
      </c>
      <c r="G30" s="28">
        <v>400000</v>
      </c>
      <c r="H30" s="28"/>
      <c r="I30" s="28"/>
      <c r="J30" s="28">
        <v>400000</v>
      </c>
      <c r="K30" s="488">
        <f t="shared" si="1"/>
        <v>17520</v>
      </c>
      <c r="L30" s="469">
        <v>382480</v>
      </c>
      <c r="M30" s="28">
        <v>1200000</v>
      </c>
      <c r="N30" s="28">
        <v>1200000</v>
      </c>
    </row>
    <row r="31" spans="1:14" s="20" customFormat="1">
      <c r="A31" s="253"/>
      <c r="B31" s="231"/>
      <c r="C31" s="32" t="s">
        <v>47</v>
      </c>
      <c r="D31" s="77">
        <v>22021006</v>
      </c>
      <c r="E31" s="135" t="s">
        <v>750</v>
      </c>
      <c r="F31" s="136">
        <v>9600000</v>
      </c>
      <c r="G31" s="28">
        <v>9600000</v>
      </c>
      <c r="H31" s="28"/>
      <c r="I31" s="28"/>
      <c r="J31" s="28">
        <v>9600000</v>
      </c>
      <c r="K31" s="488">
        <f t="shared" si="1"/>
        <v>420480</v>
      </c>
      <c r="L31" s="469">
        <v>9179520</v>
      </c>
      <c r="M31" s="28">
        <v>9600000</v>
      </c>
      <c r="N31" s="28">
        <v>9600000</v>
      </c>
    </row>
    <row r="32" spans="1:14" s="20" customFormat="1">
      <c r="A32" s="253"/>
      <c r="B32" s="231"/>
      <c r="C32" s="32" t="s">
        <v>47</v>
      </c>
      <c r="D32" s="77">
        <v>22021026</v>
      </c>
      <c r="E32" s="135" t="s">
        <v>751</v>
      </c>
      <c r="F32" s="136">
        <v>271800000</v>
      </c>
      <c r="G32" s="28">
        <v>200800000</v>
      </c>
      <c r="H32" s="28"/>
      <c r="I32" s="28"/>
      <c r="J32" s="28">
        <v>200800000</v>
      </c>
      <c r="K32" s="488">
        <f t="shared" si="1"/>
        <v>8795040</v>
      </c>
      <c r="L32" s="469">
        <v>192004960</v>
      </c>
      <c r="M32" s="28">
        <v>271800000</v>
      </c>
      <c r="N32" s="28">
        <v>271800000</v>
      </c>
    </row>
    <row r="33" spans="1:14" s="20" customFormat="1">
      <c r="A33" s="253"/>
      <c r="B33" s="231"/>
      <c r="C33" s="32" t="s">
        <v>47</v>
      </c>
      <c r="D33" s="77">
        <v>22021041</v>
      </c>
      <c r="E33" s="135" t="s">
        <v>752</v>
      </c>
      <c r="F33" s="136">
        <v>500000000</v>
      </c>
      <c r="G33" s="28">
        <v>50000000</v>
      </c>
      <c r="H33" s="28"/>
      <c r="I33" s="28"/>
      <c r="J33" s="28">
        <v>50000000</v>
      </c>
      <c r="K33" s="488">
        <f t="shared" si="1"/>
        <v>2190000</v>
      </c>
      <c r="L33" s="469">
        <v>47810000</v>
      </c>
      <c r="M33" s="28">
        <v>500000000</v>
      </c>
      <c r="N33" s="28">
        <v>500000000</v>
      </c>
    </row>
    <row r="34" spans="1:14" s="20" customFormat="1">
      <c r="A34" s="238"/>
      <c r="B34" s="231"/>
      <c r="C34" s="30" t="s">
        <v>1837</v>
      </c>
      <c r="D34" s="23"/>
      <c r="E34" s="25"/>
      <c r="F34" s="137">
        <f>SUM(F17:F33)</f>
        <v>1955844300</v>
      </c>
      <c r="G34" s="114">
        <f>SUM(G17:G33)</f>
        <v>853724300</v>
      </c>
      <c r="H34" s="114">
        <f t="shared" ref="H34:I34" si="2">SUM(H17:H33)</f>
        <v>0</v>
      </c>
      <c r="I34" s="114">
        <f t="shared" si="2"/>
        <v>0</v>
      </c>
      <c r="J34" s="114">
        <f>SUM(J17:J33)</f>
        <v>853724300</v>
      </c>
      <c r="K34" s="490">
        <f t="shared" si="1"/>
        <v>37393124.339999996</v>
      </c>
      <c r="L34" s="468">
        <f>SUM(L17:L33)</f>
        <v>816331175.66000009</v>
      </c>
      <c r="M34" s="114">
        <f>SUM(M17:M33)</f>
        <v>1954644300</v>
      </c>
      <c r="N34" s="114">
        <f>SUM(N17:N33)</f>
        <v>1954644300</v>
      </c>
    </row>
    <row r="35" spans="1:14" s="66" customFormat="1">
      <c r="A35" s="238" t="s">
        <v>707</v>
      </c>
      <c r="B35" s="231" t="s">
        <v>1838</v>
      </c>
      <c r="C35" s="30"/>
      <c r="D35" s="23"/>
      <c r="E35" s="25"/>
      <c r="F35" s="137">
        <f>F34+F16</f>
        <v>2052087221.9300001</v>
      </c>
      <c r="G35" s="114">
        <f>G34+G16</f>
        <v>939116586.44000006</v>
      </c>
      <c r="H35" s="114">
        <f t="shared" ref="H35:I35" si="3">H34+H16</f>
        <v>0</v>
      </c>
      <c r="I35" s="114">
        <f t="shared" si="3"/>
        <v>0</v>
      </c>
      <c r="J35" s="114">
        <f>J34+J16</f>
        <v>939116586.44000006</v>
      </c>
      <c r="K35" s="490"/>
      <c r="L35" s="468">
        <f>L34+L16</f>
        <v>901723462.10000014</v>
      </c>
      <c r="M35" s="114">
        <f>M34+M16</f>
        <v>2021752428.3773999</v>
      </c>
      <c r="N35" s="114">
        <f>N34+N16</f>
        <v>2028463241.2151401</v>
      </c>
    </row>
    <row r="36" spans="1:14" s="20" customFormat="1" ht="21">
      <c r="A36" s="252"/>
      <c r="B36" s="443"/>
      <c r="C36" s="228"/>
      <c r="D36" s="229"/>
      <c r="E36" s="230"/>
      <c r="F36" s="215"/>
      <c r="G36" s="296"/>
      <c r="H36" s="296"/>
      <c r="I36" s="296"/>
      <c r="J36" s="28"/>
      <c r="K36" s="488"/>
      <c r="L36" s="468"/>
      <c r="M36" s="296"/>
      <c r="N36" s="296"/>
    </row>
    <row r="37" spans="1:14" s="20" customFormat="1" ht="30">
      <c r="A37" s="238" t="s">
        <v>753</v>
      </c>
      <c r="B37" s="231" t="s">
        <v>754</v>
      </c>
      <c r="C37" s="32" t="s">
        <v>46</v>
      </c>
      <c r="D37" s="77">
        <v>21010101</v>
      </c>
      <c r="E37" s="135" t="s">
        <v>725</v>
      </c>
      <c r="F37" s="136">
        <v>69865193.040000007</v>
      </c>
      <c r="G37" s="28">
        <v>69865193.040000007</v>
      </c>
      <c r="H37" s="28"/>
      <c r="I37" s="28"/>
      <c r="J37" s="28">
        <v>69865193.040000007</v>
      </c>
      <c r="K37" s="488"/>
      <c r="L37" s="467">
        <v>69865193.040000007</v>
      </c>
      <c r="M37" s="28">
        <v>77620228.75</v>
      </c>
      <c r="N37" s="28">
        <f>M37*10%+M37</f>
        <v>85382251.625</v>
      </c>
    </row>
    <row r="38" spans="1:14" s="20" customFormat="1">
      <c r="A38" s="254"/>
      <c r="B38" s="231"/>
      <c r="C38" s="32" t="s">
        <v>46</v>
      </c>
      <c r="D38" s="77">
        <v>21020101</v>
      </c>
      <c r="E38" s="135" t="s">
        <v>726</v>
      </c>
      <c r="F38" s="136">
        <v>17443503.030000001</v>
      </c>
      <c r="G38" s="28">
        <v>17443503.030000001</v>
      </c>
      <c r="H38" s="28"/>
      <c r="I38" s="28"/>
      <c r="J38" s="28">
        <v>17443503.030000001</v>
      </c>
      <c r="K38" s="488"/>
      <c r="L38" s="467">
        <v>17443503.030000001</v>
      </c>
      <c r="M38" s="28">
        <v>21106638.68</v>
      </c>
      <c r="N38" s="28">
        <f t="shared" ref="N38:N45" si="4">M38*10%+M38</f>
        <v>23217302.548</v>
      </c>
    </row>
    <row r="39" spans="1:14" s="20" customFormat="1">
      <c r="A39" s="254"/>
      <c r="B39" s="231"/>
      <c r="C39" s="32" t="s">
        <v>46</v>
      </c>
      <c r="D39" s="77">
        <v>21020102</v>
      </c>
      <c r="E39" s="135" t="s">
        <v>727</v>
      </c>
      <c r="F39" s="136">
        <v>6978161.0099999998</v>
      </c>
      <c r="G39" s="28">
        <v>6978161.0099999998</v>
      </c>
      <c r="H39" s="28"/>
      <c r="I39" s="28"/>
      <c r="J39" s="28">
        <v>6978161.0099999998</v>
      </c>
      <c r="K39" s="488"/>
      <c r="L39" s="467">
        <v>6978161.0099999998</v>
      </c>
      <c r="M39" s="28">
        <v>8443574.8599999994</v>
      </c>
      <c r="N39" s="28">
        <f t="shared" si="4"/>
        <v>9287932.345999999</v>
      </c>
    </row>
    <row r="40" spans="1:14" s="20" customFormat="1">
      <c r="A40" s="254"/>
      <c r="B40" s="231"/>
      <c r="C40" s="32" t="s">
        <v>46</v>
      </c>
      <c r="D40" s="77">
        <v>21020103</v>
      </c>
      <c r="E40" s="135" t="s">
        <v>728</v>
      </c>
      <c r="F40" s="136">
        <v>3488147.21</v>
      </c>
      <c r="G40" s="28">
        <v>3488147.21</v>
      </c>
      <c r="H40" s="28"/>
      <c r="I40" s="28"/>
      <c r="J40" s="28">
        <v>3488147.21</v>
      </c>
      <c r="K40" s="488"/>
      <c r="L40" s="467">
        <v>3488147.21</v>
      </c>
      <c r="M40" s="28">
        <v>4220658.1399999997</v>
      </c>
      <c r="N40" s="28">
        <f t="shared" si="4"/>
        <v>4642723.9539999999</v>
      </c>
    </row>
    <row r="41" spans="1:14" s="20" customFormat="1">
      <c r="A41" s="254"/>
      <c r="B41" s="231"/>
      <c r="C41" s="32" t="s">
        <v>46</v>
      </c>
      <c r="D41" s="77">
        <v>21020104</v>
      </c>
      <c r="E41" s="135" t="s">
        <v>729</v>
      </c>
      <c r="F41" s="136">
        <v>3488147.21</v>
      </c>
      <c r="G41" s="28">
        <v>3488147.21</v>
      </c>
      <c r="H41" s="28"/>
      <c r="I41" s="28"/>
      <c r="J41" s="28">
        <v>3488147.21</v>
      </c>
      <c r="K41" s="488"/>
      <c r="L41" s="467">
        <v>3488147.21</v>
      </c>
      <c r="M41" s="28">
        <v>4220658.1399999997</v>
      </c>
      <c r="N41" s="28">
        <f t="shared" si="4"/>
        <v>4642723.9539999999</v>
      </c>
    </row>
    <row r="42" spans="1:14" s="20" customFormat="1">
      <c r="A42" s="254"/>
      <c r="B42" s="231"/>
      <c r="C42" s="32" t="s">
        <v>46</v>
      </c>
      <c r="D42" s="77">
        <v>21020105</v>
      </c>
      <c r="E42" s="135" t="s">
        <v>730</v>
      </c>
      <c r="F42" s="136">
        <v>359982.16</v>
      </c>
      <c r="G42" s="28">
        <v>359982.16</v>
      </c>
      <c r="H42" s="28"/>
      <c r="I42" s="28"/>
      <c r="J42" s="28">
        <v>359982.16</v>
      </c>
      <c r="K42" s="488"/>
      <c r="L42" s="467">
        <v>359982.16</v>
      </c>
      <c r="M42" s="28">
        <v>435578.42</v>
      </c>
      <c r="N42" s="28">
        <f t="shared" si="4"/>
        <v>479136.26199999999</v>
      </c>
    </row>
    <row r="43" spans="1:14" s="20" customFormat="1">
      <c r="A43" s="254"/>
      <c r="B43" s="231"/>
      <c r="C43" s="32" t="s">
        <v>46</v>
      </c>
      <c r="D43" s="77">
        <v>21020106</v>
      </c>
      <c r="E43" s="135" t="s">
        <v>731</v>
      </c>
      <c r="F43" s="136">
        <v>6986519.5499999998</v>
      </c>
      <c r="G43" s="28">
        <v>6986519.5499999998</v>
      </c>
      <c r="H43" s="28"/>
      <c r="I43" s="28"/>
      <c r="J43" s="28">
        <v>6986519.5499999998</v>
      </c>
      <c r="K43" s="488"/>
      <c r="L43" s="467">
        <v>6986519.5499999998</v>
      </c>
      <c r="M43" s="28">
        <v>8453688.6699999999</v>
      </c>
      <c r="N43" s="28">
        <f t="shared" si="4"/>
        <v>9299057.5370000005</v>
      </c>
    </row>
    <row r="44" spans="1:14" s="20" customFormat="1">
      <c r="A44" s="254"/>
      <c r="B44" s="231"/>
      <c r="C44" s="32" t="s">
        <v>46</v>
      </c>
      <c r="D44" s="77">
        <v>21020107</v>
      </c>
      <c r="E44" s="135" t="s">
        <v>732</v>
      </c>
      <c r="F44" s="136">
        <v>3240000</v>
      </c>
      <c r="G44" s="28">
        <v>3240000</v>
      </c>
      <c r="H44" s="28"/>
      <c r="I44" s="28"/>
      <c r="J44" s="28">
        <v>3240000</v>
      </c>
      <c r="K44" s="488"/>
      <c r="L44" s="467">
        <v>3240000</v>
      </c>
      <c r="M44" s="28">
        <v>3920400</v>
      </c>
      <c r="N44" s="28">
        <f t="shared" si="4"/>
        <v>4312440</v>
      </c>
    </row>
    <row r="45" spans="1:14" s="20" customFormat="1">
      <c r="A45" s="253"/>
      <c r="B45" s="231"/>
      <c r="C45" s="30" t="s">
        <v>1836</v>
      </c>
      <c r="D45" s="23"/>
      <c r="E45" s="25"/>
      <c r="F45" s="137">
        <f>SUM(F37:F44)</f>
        <v>111849653.20999999</v>
      </c>
      <c r="G45" s="114">
        <f>SUM(G37:G44)</f>
        <v>111849653.20999999</v>
      </c>
      <c r="H45" s="114">
        <f t="shared" ref="H45:I45" si="5">SUM(H37:H44)</f>
        <v>0</v>
      </c>
      <c r="I45" s="114">
        <f t="shared" si="5"/>
        <v>0</v>
      </c>
      <c r="J45" s="114">
        <f>SUM(J37:J44)</f>
        <v>111849653.20999999</v>
      </c>
      <c r="K45" s="490"/>
      <c r="L45" s="468">
        <f>SUM(L37:L44)</f>
        <v>111849653.20999999</v>
      </c>
      <c r="M45" s="114">
        <f>SUM(M37:M44)</f>
        <v>128421425.66000001</v>
      </c>
      <c r="N45" s="114">
        <f t="shared" si="4"/>
        <v>141263568.22600001</v>
      </c>
    </row>
    <row r="46" spans="1:14" s="20" customFormat="1">
      <c r="A46" s="254"/>
      <c r="B46" s="231"/>
      <c r="C46" s="32" t="s">
        <v>47</v>
      </c>
      <c r="D46" s="77">
        <v>22020105</v>
      </c>
      <c r="E46" s="135" t="s">
        <v>1713</v>
      </c>
      <c r="F46" s="136">
        <v>2426000</v>
      </c>
      <c r="G46" s="28">
        <v>2426000</v>
      </c>
      <c r="H46" s="28"/>
      <c r="I46" s="28"/>
      <c r="J46" s="28">
        <v>2426000</v>
      </c>
      <c r="K46" s="488">
        <f>J46*4.38%</f>
        <v>106258.8</v>
      </c>
      <c r="L46" s="469">
        <v>2319741.2000000002</v>
      </c>
      <c r="M46" s="28">
        <v>2426000</v>
      </c>
      <c r="N46" s="28">
        <v>2426000</v>
      </c>
    </row>
    <row r="47" spans="1:14" s="20" customFormat="1">
      <c r="A47" s="254"/>
      <c r="B47" s="231"/>
      <c r="C47" s="32" t="s">
        <v>47</v>
      </c>
      <c r="D47" s="77">
        <v>22020301</v>
      </c>
      <c r="E47" s="135" t="s">
        <v>737</v>
      </c>
      <c r="F47" s="136">
        <v>1280100</v>
      </c>
      <c r="G47" s="28">
        <v>1280100</v>
      </c>
      <c r="H47" s="28"/>
      <c r="I47" s="28"/>
      <c r="J47" s="28">
        <v>1280100</v>
      </c>
      <c r="K47" s="488">
        <f t="shared" ref="K47:K60" si="6">J47*4.38%</f>
        <v>56068.38</v>
      </c>
      <c r="L47" s="469">
        <v>1224031.6200000001</v>
      </c>
      <c r="M47" s="28">
        <v>1280100</v>
      </c>
      <c r="N47" s="28">
        <v>1280100</v>
      </c>
    </row>
    <row r="48" spans="1:14" s="20" customFormat="1">
      <c r="A48" s="254"/>
      <c r="B48" s="231"/>
      <c r="C48" s="32" t="s">
        <v>47</v>
      </c>
      <c r="D48" s="77">
        <v>22020305</v>
      </c>
      <c r="E48" s="135" t="s">
        <v>755</v>
      </c>
      <c r="F48" s="136">
        <v>30000</v>
      </c>
      <c r="G48" s="28">
        <v>30000</v>
      </c>
      <c r="H48" s="28"/>
      <c r="I48" s="28"/>
      <c r="J48" s="28">
        <v>30000</v>
      </c>
      <c r="K48" s="488">
        <f t="shared" si="6"/>
        <v>1314</v>
      </c>
      <c r="L48" s="469">
        <v>28686</v>
      </c>
      <c r="M48" s="28">
        <v>30000</v>
      </c>
      <c r="N48" s="28">
        <v>30000</v>
      </c>
    </row>
    <row r="49" spans="1:14" s="20" customFormat="1">
      <c r="A49" s="254"/>
      <c r="B49" s="231"/>
      <c r="C49" s="32" t="s">
        <v>47</v>
      </c>
      <c r="D49" s="77">
        <v>22020308</v>
      </c>
      <c r="E49" s="135" t="s">
        <v>756</v>
      </c>
      <c r="F49" s="136">
        <v>4361000</v>
      </c>
      <c r="G49" s="28">
        <v>4361000</v>
      </c>
      <c r="H49" s="28"/>
      <c r="I49" s="28"/>
      <c r="J49" s="28">
        <v>4361000</v>
      </c>
      <c r="K49" s="488">
        <f t="shared" si="6"/>
        <v>191011.8</v>
      </c>
      <c r="L49" s="469">
        <v>4169988.2</v>
      </c>
      <c r="M49" s="28">
        <v>4361000</v>
      </c>
      <c r="N49" s="28">
        <v>4361000</v>
      </c>
    </row>
    <row r="50" spans="1:14" s="20" customFormat="1">
      <c r="A50" s="254"/>
      <c r="B50" s="231"/>
      <c r="C50" s="32" t="s">
        <v>47</v>
      </c>
      <c r="D50" s="77">
        <v>22020315</v>
      </c>
      <c r="E50" s="135" t="s">
        <v>740</v>
      </c>
      <c r="F50" s="136">
        <v>151500</v>
      </c>
      <c r="G50" s="28">
        <v>151500</v>
      </c>
      <c r="H50" s="28"/>
      <c r="I50" s="28"/>
      <c r="J50" s="28">
        <v>151500</v>
      </c>
      <c r="K50" s="488">
        <f t="shared" si="6"/>
        <v>6635.7</v>
      </c>
      <c r="L50" s="469">
        <v>144864.30000000002</v>
      </c>
      <c r="M50" s="28">
        <v>151500</v>
      </c>
      <c r="N50" s="28">
        <v>151500</v>
      </c>
    </row>
    <row r="51" spans="1:14" s="20" customFormat="1">
      <c r="A51" s="254"/>
      <c r="B51" s="231"/>
      <c r="C51" s="32" t="s">
        <v>47</v>
      </c>
      <c r="D51" s="77">
        <v>22020404</v>
      </c>
      <c r="E51" s="135" t="s">
        <v>742</v>
      </c>
      <c r="F51" s="136">
        <v>50000</v>
      </c>
      <c r="G51" s="28">
        <v>50000</v>
      </c>
      <c r="H51" s="28"/>
      <c r="I51" s="28"/>
      <c r="J51" s="28">
        <v>50000</v>
      </c>
      <c r="K51" s="488">
        <f t="shared" si="6"/>
        <v>2190</v>
      </c>
      <c r="L51" s="469">
        <v>47810</v>
      </c>
      <c r="M51" s="28">
        <v>300000</v>
      </c>
      <c r="N51" s="28">
        <v>300000</v>
      </c>
    </row>
    <row r="52" spans="1:14" s="20" customFormat="1">
      <c r="A52" s="254"/>
      <c r="B52" s="231"/>
      <c r="C52" s="32" t="s">
        <v>47</v>
      </c>
      <c r="D52" s="77">
        <v>22020405</v>
      </c>
      <c r="E52" s="135" t="s">
        <v>743</v>
      </c>
      <c r="F52" s="136">
        <v>315000</v>
      </c>
      <c r="G52" s="28">
        <v>315000</v>
      </c>
      <c r="H52" s="28"/>
      <c r="I52" s="28"/>
      <c r="J52" s="28">
        <v>315000</v>
      </c>
      <c r="K52" s="488">
        <f t="shared" si="6"/>
        <v>13797</v>
      </c>
      <c r="L52" s="469">
        <v>301203</v>
      </c>
      <c r="M52" s="28">
        <v>315000</v>
      </c>
      <c r="N52" s="28">
        <v>315000</v>
      </c>
    </row>
    <row r="53" spans="1:14" s="20" customFormat="1">
      <c r="A53" s="254"/>
      <c r="B53" s="231"/>
      <c r="C53" s="32" t="s">
        <v>47</v>
      </c>
      <c r="D53" s="77">
        <v>22020406</v>
      </c>
      <c r="E53" s="135" t="s">
        <v>758</v>
      </c>
      <c r="F53" s="136">
        <v>20000</v>
      </c>
      <c r="G53" s="28">
        <v>20000</v>
      </c>
      <c r="H53" s="28"/>
      <c r="I53" s="28"/>
      <c r="J53" s="28">
        <v>20000</v>
      </c>
      <c r="K53" s="488">
        <f t="shared" si="6"/>
        <v>876</v>
      </c>
      <c r="L53" s="469">
        <v>19124</v>
      </c>
      <c r="M53" s="28">
        <v>20000</v>
      </c>
      <c r="N53" s="28">
        <v>20000</v>
      </c>
    </row>
    <row r="54" spans="1:14" s="20" customFormat="1">
      <c r="A54" s="254"/>
      <c r="B54" s="231"/>
      <c r="C54" s="32" t="s">
        <v>47</v>
      </c>
      <c r="D54" s="77">
        <v>22020801</v>
      </c>
      <c r="E54" s="135" t="s">
        <v>747</v>
      </c>
      <c r="F54" s="136">
        <v>12602675</v>
      </c>
      <c r="G54" s="28">
        <v>12602675</v>
      </c>
      <c r="H54" s="28"/>
      <c r="I54" s="28"/>
      <c r="J54" s="28">
        <v>12602675</v>
      </c>
      <c r="K54" s="488">
        <f t="shared" si="6"/>
        <v>551997.16500000004</v>
      </c>
      <c r="L54" s="469">
        <v>12050677.835000001</v>
      </c>
      <c r="M54" s="28">
        <v>12602675</v>
      </c>
      <c r="N54" s="28">
        <v>12602675</v>
      </c>
    </row>
    <row r="55" spans="1:14" s="20" customFormat="1">
      <c r="A55" s="254"/>
      <c r="B55" s="231"/>
      <c r="C55" s="32" t="s">
        <v>47</v>
      </c>
      <c r="D55" s="77">
        <v>22020803</v>
      </c>
      <c r="E55" s="135" t="s">
        <v>748</v>
      </c>
      <c r="F55" s="136">
        <v>2550000</v>
      </c>
      <c r="G55" s="28">
        <v>2550000</v>
      </c>
      <c r="H55" s="28"/>
      <c r="I55" s="28"/>
      <c r="J55" s="28">
        <v>2550000</v>
      </c>
      <c r="K55" s="488">
        <f t="shared" si="6"/>
        <v>111690</v>
      </c>
      <c r="L55" s="469">
        <v>2438310</v>
      </c>
      <c r="M55" s="28">
        <v>2550000</v>
      </c>
      <c r="N55" s="28">
        <v>2550000</v>
      </c>
    </row>
    <row r="56" spans="1:14" s="20" customFormat="1">
      <c r="A56" s="254"/>
      <c r="B56" s="231"/>
      <c r="C56" s="32" t="s">
        <v>47</v>
      </c>
      <c r="D56" s="77">
        <v>22020901</v>
      </c>
      <c r="E56" s="135" t="s">
        <v>749</v>
      </c>
      <c r="F56" s="136">
        <v>180000</v>
      </c>
      <c r="G56" s="28">
        <v>180000</v>
      </c>
      <c r="H56" s="28"/>
      <c r="I56" s="28"/>
      <c r="J56" s="28">
        <v>180000</v>
      </c>
      <c r="K56" s="488">
        <f t="shared" si="6"/>
        <v>7884</v>
      </c>
      <c r="L56" s="469">
        <v>172116</v>
      </c>
      <c r="M56" s="28">
        <v>180000</v>
      </c>
      <c r="N56" s="28">
        <v>180000</v>
      </c>
    </row>
    <row r="57" spans="1:14" s="20" customFormat="1">
      <c r="A57" s="254"/>
      <c r="B57" s="231"/>
      <c r="C57" s="32" t="s">
        <v>47</v>
      </c>
      <c r="D57" s="77">
        <v>22020906</v>
      </c>
      <c r="E57" s="135" t="s">
        <v>759</v>
      </c>
      <c r="F57" s="136">
        <v>8222200</v>
      </c>
      <c r="G57" s="28">
        <v>8222200</v>
      </c>
      <c r="H57" s="28"/>
      <c r="I57" s="28"/>
      <c r="J57" s="28">
        <v>8222200</v>
      </c>
      <c r="K57" s="488">
        <f t="shared" si="6"/>
        <v>360132.36</v>
      </c>
      <c r="L57" s="469">
        <v>7862067.6400000006</v>
      </c>
      <c r="M57" s="28">
        <v>8222200</v>
      </c>
      <c r="N57" s="28">
        <v>8222200</v>
      </c>
    </row>
    <row r="58" spans="1:14" s="20" customFormat="1">
      <c r="A58" s="254"/>
      <c r="B58" s="231"/>
      <c r="C58" s="32" t="s">
        <v>47</v>
      </c>
      <c r="D58" s="77">
        <v>22021003</v>
      </c>
      <c r="E58" s="135" t="s">
        <v>760</v>
      </c>
      <c r="F58" s="136">
        <v>6702500</v>
      </c>
      <c r="G58" s="28">
        <v>6702500</v>
      </c>
      <c r="H58" s="28"/>
      <c r="I58" s="28"/>
      <c r="J58" s="28">
        <v>6702500</v>
      </c>
      <c r="K58" s="488">
        <f t="shared" si="6"/>
        <v>293569.5</v>
      </c>
      <c r="L58" s="469">
        <v>6408930.5</v>
      </c>
      <c r="M58" s="28">
        <v>6702500</v>
      </c>
      <c r="N58" s="28">
        <v>4102500</v>
      </c>
    </row>
    <row r="59" spans="1:14" s="20" customFormat="1">
      <c r="A59" s="254"/>
      <c r="B59" s="231"/>
      <c r="C59" s="32" t="s">
        <v>47</v>
      </c>
      <c r="D59" s="77">
        <v>22021023</v>
      </c>
      <c r="E59" s="135" t="s">
        <v>761</v>
      </c>
      <c r="F59" s="136">
        <v>45000</v>
      </c>
      <c r="G59" s="28">
        <v>45000</v>
      </c>
      <c r="H59" s="28"/>
      <c r="I59" s="28"/>
      <c r="J59" s="28">
        <v>45000</v>
      </c>
      <c r="K59" s="488">
        <f t="shared" si="6"/>
        <v>1971</v>
      </c>
      <c r="L59" s="469">
        <v>43029</v>
      </c>
      <c r="M59" s="28">
        <v>45000</v>
      </c>
      <c r="N59" s="28">
        <v>45000</v>
      </c>
    </row>
    <row r="60" spans="1:14" s="20" customFormat="1">
      <c r="A60" s="254"/>
      <c r="B60" s="231"/>
      <c r="C60" s="32" t="s">
        <v>47</v>
      </c>
      <c r="D60" s="77">
        <v>22021001</v>
      </c>
      <c r="E60" s="135" t="s">
        <v>772</v>
      </c>
      <c r="F60" s="136">
        <v>1449000</v>
      </c>
      <c r="G60" s="28">
        <v>1449000</v>
      </c>
      <c r="H60" s="28"/>
      <c r="I60" s="28"/>
      <c r="J60" s="28">
        <v>1449000</v>
      </c>
      <c r="K60" s="488">
        <f t="shared" si="6"/>
        <v>63466.2</v>
      </c>
      <c r="L60" s="469">
        <v>1385533.8</v>
      </c>
      <c r="M60" s="28">
        <v>1449000</v>
      </c>
      <c r="N60" s="28">
        <v>1449000</v>
      </c>
    </row>
    <row r="61" spans="1:14" s="20" customFormat="1">
      <c r="A61" s="238"/>
      <c r="B61" s="231"/>
      <c r="C61" s="30" t="s">
        <v>1839</v>
      </c>
      <c r="D61" s="23"/>
      <c r="E61" s="25"/>
      <c r="F61" s="137">
        <f>SUM(F46:F60)</f>
        <v>40384975</v>
      </c>
      <c r="G61" s="114">
        <f>SUM(G46:G60)</f>
        <v>40384975</v>
      </c>
      <c r="H61" s="114">
        <f t="shared" ref="H61:I61" si="7">SUM(H46:H60)</f>
        <v>0</v>
      </c>
      <c r="I61" s="114">
        <f t="shared" si="7"/>
        <v>0</v>
      </c>
      <c r="J61" s="114">
        <f t="shared" ref="J61:N61" si="8">SUM(J46:J60)</f>
        <v>40384975</v>
      </c>
      <c r="K61" s="490">
        <f t="shared" si="8"/>
        <v>1768861.905</v>
      </c>
      <c r="L61" s="468">
        <f t="shared" si="8"/>
        <v>38616113.094999999</v>
      </c>
      <c r="M61" s="114">
        <f t="shared" si="8"/>
        <v>40634975</v>
      </c>
      <c r="N61" s="114">
        <f t="shared" si="8"/>
        <v>38034975</v>
      </c>
    </row>
    <row r="62" spans="1:14" s="66" customFormat="1" ht="30">
      <c r="A62" s="238" t="s">
        <v>753</v>
      </c>
      <c r="B62" s="231" t="s">
        <v>1840</v>
      </c>
      <c r="C62" s="30"/>
      <c r="D62" s="23"/>
      <c r="E62" s="25"/>
      <c r="F62" s="137">
        <f>F61+F45</f>
        <v>152234628.20999998</v>
      </c>
      <c r="G62" s="114">
        <f>G61+G45</f>
        <v>152234628.20999998</v>
      </c>
      <c r="H62" s="114">
        <f>H61+H45</f>
        <v>0</v>
      </c>
      <c r="I62" s="114">
        <f t="shared" ref="I62" si="9">I61+I45</f>
        <v>0</v>
      </c>
      <c r="J62" s="114">
        <f>J61+J45</f>
        <v>152234628.20999998</v>
      </c>
      <c r="K62" s="490"/>
      <c r="L62" s="468">
        <f>L61+L45</f>
        <v>150465766.30500001</v>
      </c>
      <c r="M62" s="114">
        <f>M61+M45</f>
        <v>169056400.66000003</v>
      </c>
      <c r="N62" s="114">
        <f>N61+N45</f>
        <v>179298543.22600001</v>
      </c>
    </row>
    <row r="63" spans="1:14" s="20" customFormat="1" ht="21">
      <c r="A63" s="252"/>
      <c r="B63" s="443"/>
      <c r="C63" s="228"/>
      <c r="D63" s="229"/>
      <c r="E63" s="230"/>
      <c r="F63" s="215"/>
      <c r="G63" s="296"/>
      <c r="H63" s="296"/>
      <c r="I63" s="296"/>
      <c r="J63" s="28"/>
      <c r="K63" s="488"/>
      <c r="L63" s="468"/>
      <c r="M63" s="296"/>
      <c r="N63" s="296"/>
    </row>
    <row r="64" spans="1:14" s="20" customFormat="1" ht="30">
      <c r="A64" s="238" t="s">
        <v>763</v>
      </c>
      <c r="B64" s="231" t="s">
        <v>762</v>
      </c>
      <c r="C64" s="32" t="s">
        <v>46</v>
      </c>
      <c r="D64" s="77">
        <v>21010101</v>
      </c>
      <c r="E64" s="135" t="s">
        <v>725</v>
      </c>
      <c r="F64" s="136">
        <v>137959792.68000001</v>
      </c>
      <c r="G64" s="28">
        <v>137959792.68000001</v>
      </c>
      <c r="H64" s="28"/>
      <c r="I64" s="28"/>
      <c r="J64" s="28">
        <v>137959792.68000001</v>
      </c>
      <c r="K64" s="488"/>
      <c r="L64" s="467">
        <v>137959792.68000001</v>
      </c>
      <c r="M64" s="28">
        <v>21867091.668000028</v>
      </c>
      <c r="N64" s="28">
        <f>M64*10%+M64</f>
        <v>24053800.834800031</v>
      </c>
    </row>
    <row r="65" spans="1:14" s="20" customFormat="1">
      <c r="A65" s="253"/>
      <c r="B65" s="231"/>
      <c r="C65" s="30" t="s">
        <v>1836</v>
      </c>
      <c r="D65" s="23"/>
      <c r="E65" s="25"/>
      <c r="F65" s="137">
        <f>SUM(F64)</f>
        <v>137959792.68000001</v>
      </c>
      <c r="G65" s="114">
        <f>SUM(G64)</f>
        <v>137959792.68000001</v>
      </c>
      <c r="H65" s="114">
        <f t="shared" ref="H65:I65" si="10">SUM(H64)</f>
        <v>0</v>
      </c>
      <c r="I65" s="114">
        <f t="shared" si="10"/>
        <v>0</v>
      </c>
      <c r="J65" s="114">
        <f>SUM(J64)</f>
        <v>137959792.68000001</v>
      </c>
      <c r="K65" s="490"/>
      <c r="L65" s="468">
        <f>SUM(L64)</f>
        <v>137959792.68000001</v>
      </c>
      <c r="M65" s="114">
        <f>SUM(M64)</f>
        <v>21867091.668000028</v>
      </c>
      <c r="N65" s="114">
        <f>SUM(N64)</f>
        <v>24053800.834800031</v>
      </c>
    </row>
    <row r="66" spans="1:14" s="20" customFormat="1">
      <c r="A66" s="253"/>
      <c r="B66" s="231"/>
      <c r="C66" s="32" t="s">
        <v>47</v>
      </c>
      <c r="D66" s="77">
        <v>22020105</v>
      </c>
      <c r="E66" s="135" t="s">
        <v>1733</v>
      </c>
      <c r="F66" s="136">
        <v>19958000</v>
      </c>
      <c r="G66" s="28">
        <v>5000000</v>
      </c>
      <c r="H66" s="28"/>
      <c r="I66" s="28"/>
      <c r="J66" s="28">
        <v>5000000</v>
      </c>
      <c r="K66" s="488">
        <f>J66*4.38%</f>
        <v>219000</v>
      </c>
      <c r="L66" s="469">
        <v>4781000</v>
      </c>
      <c r="M66" s="28">
        <v>11059000</v>
      </c>
      <c r="N66" s="28">
        <v>6619000</v>
      </c>
    </row>
    <row r="67" spans="1:14" s="20" customFormat="1">
      <c r="A67" s="253"/>
      <c r="B67" s="231"/>
      <c r="C67" s="32" t="s">
        <v>47</v>
      </c>
      <c r="D67" s="77">
        <v>22020206</v>
      </c>
      <c r="E67" s="135" t="s">
        <v>764</v>
      </c>
      <c r="F67" s="136">
        <v>2500000</v>
      </c>
      <c r="G67" s="28">
        <v>2500000</v>
      </c>
      <c r="H67" s="28"/>
      <c r="I67" s="28"/>
      <c r="J67" s="28">
        <v>2500000</v>
      </c>
      <c r="K67" s="488">
        <f t="shared" ref="K67:K86" si="11">J67*4.38%</f>
        <v>109500</v>
      </c>
      <c r="L67" s="469">
        <v>2390500</v>
      </c>
      <c r="M67" s="28">
        <f>G67*10%+G67</f>
        <v>2750000</v>
      </c>
      <c r="N67" s="28">
        <f>M67*10%+M67</f>
        <v>3025000</v>
      </c>
    </row>
    <row r="68" spans="1:14" s="20" customFormat="1">
      <c r="A68" s="253"/>
      <c r="B68" s="231"/>
      <c r="C68" s="32" t="s">
        <v>47</v>
      </c>
      <c r="D68" s="77">
        <v>22020209</v>
      </c>
      <c r="E68" s="135" t="s">
        <v>750</v>
      </c>
      <c r="F68" s="136">
        <v>850000</v>
      </c>
      <c r="G68" s="28">
        <v>850000</v>
      </c>
      <c r="H68" s="28"/>
      <c r="I68" s="28"/>
      <c r="J68" s="28">
        <v>850000</v>
      </c>
      <c r="K68" s="488">
        <f t="shared" si="11"/>
        <v>37230</v>
      </c>
      <c r="L68" s="469">
        <v>812770</v>
      </c>
      <c r="M68" s="28">
        <f>G68*10%+G68</f>
        <v>935000</v>
      </c>
      <c r="N68" s="28">
        <f t="shared" ref="N68:N69" si="12">M68*10%+M68</f>
        <v>1028500</v>
      </c>
    </row>
    <row r="69" spans="1:14" s="20" customFormat="1">
      <c r="A69" s="253"/>
      <c r="B69" s="231"/>
      <c r="C69" s="32" t="s">
        <v>47</v>
      </c>
      <c r="D69" s="77">
        <v>22020301</v>
      </c>
      <c r="E69" s="135" t="s">
        <v>737</v>
      </c>
      <c r="F69" s="136">
        <v>10058450</v>
      </c>
      <c r="G69" s="28">
        <v>6058450</v>
      </c>
      <c r="H69" s="28"/>
      <c r="I69" s="28"/>
      <c r="J69" s="28">
        <v>6058450</v>
      </c>
      <c r="K69" s="488">
        <f t="shared" si="11"/>
        <v>265360.11</v>
      </c>
      <c r="L69" s="469">
        <v>5793089.8900000006</v>
      </c>
      <c r="M69" s="28">
        <f>G69*10%+G69</f>
        <v>6664295</v>
      </c>
      <c r="N69" s="28">
        <f t="shared" si="12"/>
        <v>7330724.5</v>
      </c>
    </row>
    <row r="70" spans="1:14" s="20" customFormat="1">
      <c r="A70" s="253"/>
      <c r="B70" s="231"/>
      <c r="C70" s="32" t="s">
        <v>47</v>
      </c>
      <c r="D70" s="77">
        <v>22020305</v>
      </c>
      <c r="E70" s="135" t="s">
        <v>755</v>
      </c>
      <c r="F70" s="136">
        <v>770800</v>
      </c>
      <c r="G70" s="28">
        <v>770800</v>
      </c>
      <c r="H70" s="28"/>
      <c r="I70" s="28"/>
      <c r="J70" s="28">
        <v>770800</v>
      </c>
      <c r="K70" s="488">
        <f t="shared" si="11"/>
        <v>33761.040000000001</v>
      </c>
      <c r="L70" s="469">
        <v>737038.96000000008</v>
      </c>
      <c r="M70" s="28">
        <v>370150</v>
      </c>
      <c r="N70" s="28">
        <v>340000</v>
      </c>
    </row>
    <row r="71" spans="1:14" s="20" customFormat="1">
      <c r="A71" s="253"/>
      <c r="B71" s="231"/>
      <c r="C71" s="32" t="s">
        <v>47</v>
      </c>
      <c r="D71" s="77">
        <v>22020306</v>
      </c>
      <c r="E71" s="135" t="s">
        <v>765</v>
      </c>
      <c r="F71" s="136">
        <v>6000000</v>
      </c>
      <c r="G71" s="28">
        <v>6000000</v>
      </c>
      <c r="H71" s="28"/>
      <c r="I71" s="28"/>
      <c r="J71" s="28">
        <v>6000000</v>
      </c>
      <c r="K71" s="488">
        <f t="shared" si="11"/>
        <v>262800</v>
      </c>
      <c r="L71" s="469">
        <v>5737200</v>
      </c>
      <c r="M71" s="28">
        <v>6000000</v>
      </c>
      <c r="N71" s="28">
        <f>M71*10%+M71</f>
        <v>6600000</v>
      </c>
    </row>
    <row r="72" spans="1:14" s="20" customFormat="1">
      <c r="A72" s="253"/>
      <c r="B72" s="231"/>
      <c r="C72" s="32" t="s">
        <v>47</v>
      </c>
      <c r="D72" s="77">
        <v>22020308</v>
      </c>
      <c r="E72" s="135" t="s">
        <v>756</v>
      </c>
      <c r="F72" s="136">
        <v>5857500</v>
      </c>
      <c r="G72" s="28">
        <v>5857500</v>
      </c>
      <c r="H72" s="28"/>
      <c r="I72" s="28"/>
      <c r="J72" s="28">
        <v>5857500</v>
      </c>
      <c r="K72" s="488">
        <f t="shared" si="11"/>
        <v>256558.5</v>
      </c>
      <c r="L72" s="469">
        <v>5600941.5</v>
      </c>
      <c r="M72" s="28">
        <v>2635000</v>
      </c>
      <c r="N72" s="28">
        <v>5857500</v>
      </c>
    </row>
    <row r="73" spans="1:14" s="20" customFormat="1">
      <c r="A73" s="253"/>
      <c r="B73" s="231"/>
      <c r="C73" s="32" t="s">
        <v>47</v>
      </c>
      <c r="D73" s="77">
        <v>22020315</v>
      </c>
      <c r="E73" s="135" t="s">
        <v>740</v>
      </c>
      <c r="F73" s="136">
        <v>1305000</v>
      </c>
      <c r="G73" s="28">
        <v>1305000</v>
      </c>
      <c r="H73" s="28"/>
      <c r="I73" s="28"/>
      <c r="J73" s="28">
        <v>1305000</v>
      </c>
      <c r="K73" s="488">
        <f t="shared" si="11"/>
        <v>57159</v>
      </c>
      <c r="L73" s="469">
        <v>1247841</v>
      </c>
      <c r="M73" s="28">
        <f>G73*10%+G73</f>
        <v>1435500</v>
      </c>
      <c r="N73" s="28">
        <f>M73*10%+M73</f>
        <v>1579050</v>
      </c>
    </row>
    <row r="74" spans="1:14" s="20" customFormat="1">
      <c r="A74" s="253"/>
      <c r="B74" s="231"/>
      <c r="C74" s="32" t="s">
        <v>47</v>
      </c>
      <c r="D74" s="77">
        <v>22020401</v>
      </c>
      <c r="E74" s="135" t="s">
        <v>741</v>
      </c>
      <c r="F74" s="136">
        <v>11040000</v>
      </c>
      <c r="G74" s="28">
        <v>6000000</v>
      </c>
      <c r="H74" s="28"/>
      <c r="I74" s="28"/>
      <c r="J74" s="28">
        <v>6000000</v>
      </c>
      <c r="K74" s="488">
        <f t="shared" si="11"/>
        <v>262800</v>
      </c>
      <c r="L74" s="469">
        <v>5737200</v>
      </c>
      <c r="M74" s="28">
        <f>G74*10%+G74</f>
        <v>6600000</v>
      </c>
      <c r="N74" s="28">
        <f t="shared" ref="N74:N76" si="13">M74*10%+M74</f>
        <v>7260000</v>
      </c>
    </row>
    <row r="75" spans="1:14" s="20" customFormat="1">
      <c r="A75" s="253"/>
      <c r="B75" s="231"/>
      <c r="C75" s="32" t="s">
        <v>47</v>
      </c>
      <c r="D75" s="77">
        <v>22020402</v>
      </c>
      <c r="E75" s="135" t="s">
        <v>757</v>
      </c>
      <c r="F75" s="136">
        <v>300000</v>
      </c>
      <c r="G75" s="28">
        <v>300000</v>
      </c>
      <c r="H75" s="28"/>
      <c r="I75" s="28"/>
      <c r="J75" s="28">
        <v>300000</v>
      </c>
      <c r="K75" s="488">
        <f t="shared" si="11"/>
        <v>13140</v>
      </c>
      <c r="L75" s="469">
        <v>286860</v>
      </c>
      <c r="M75" s="28">
        <f>G75*10%+G75</f>
        <v>330000</v>
      </c>
      <c r="N75" s="28">
        <f t="shared" si="13"/>
        <v>363000</v>
      </c>
    </row>
    <row r="76" spans="1:14" s="20" customFormat="1">
      <c r="A76" s="253"/>
      <c r="B76" s="231"/>
      <c r="C76" s="32" t="s">
        <v>47</v>
      </c>
      <c r="D76" s="77">
        <v>22020405</v>
      </c>
      <c r="E76" s="135" t="s">
        <v>743</v>
      </c>
      <c r="F76" s="136">
        <v>792000</v>
      </c>
      <c r="G76" s="28">
        <v>792000</v>
      </c>
      <c r="H76" s="28"/>
      <c r="I76" s="28"/>
      <c r="J76" s="28">
        <v>792000</v>
      </c>
      <c r="K76" s="488">
        <f t="shared" si="11"/>
        <v>34689.599999999999</v>
      </c>
      <c r="L76" s="469">
        <v>757310.4</v>
      </c>
      <c r="M76" s="28">
        <f>G76*10%+G76</f>
        <v>871200</v>
      </c>
      <c r="N76" s="28">
        <f t="shared" si="13"/>
        <v>958320</v>
      </c>
    </row>
    <row r="77" spans="1:14" s="20" customFormat="1">
      <c r="A77" s="253"/>
      <c r="B77" s="231"/>
      <c r="C77" s="32" t="s">
        <v>47</v>
      </c>
      <c r="D77" s="77">
        <v>22020601</v>
      </c>
      <c r="E77" s="135" t="s">
        <v>766</v>
      </c>
      <c r="F77" s="136">
        <v>28800000</v>
      </c>
      <c r="G77" s="28">
        <v>2000000</v>
      </c>
      <c r="H77" s="28"/>
      <c r="I77" s="28"/>
      <c r="J77" s="28">
        <v>2000000</v>
      </c>
      <c r="K77" s="488">
        <f t="shared" si="11"/>
        <v>87600</v>
      </c>
      <c r="L77" s="469">
        <v>1912400</v>
      </c>
      <c r="M77" s="28">
        <v>14400000</v>
      </c>
      <c r="N77" s="28">
        <v>7200000</v>
      </c>
    </row>
    <row r="78" spans="1:14" s="20" customFormat="1">
      <c r="A78" s="253"/>
      <c r="B78" s="231"/>
      <c r="C78" s="32" t="s">
        <v>47</v>
      </c>
      <c r="D78" s="77">
        <v>22020602</v>
      </c>
      <c r="E78" s="135" t="s">
        <v>767</v>
      </c>
      <c r="F78" s="136">
        <v>1250000</v>
      </c>
      <c r="G78" s="28">
        <v>1250000</v>
      </c>
      <c r="H78" s="28"/>
      <c r="I78" s="28"/>
      <c r="J78" s="28">
        <v>1250000</v>
      </c>
      <c r="K78" s="488">
        <f t="shared" si="11"/>
        <v>54750</v>
      </c>
      <c r="L78" s="469">
        <v>1195250</v>
      </c>
      <c r="M78" s="28">
        <f>G78*10%+G78</f>
        <v>1375000</v>
      </c>
      <c r="N78" s="28">
        <f>M78*10%+M78</f>
        <v>1512500</v>
      </c>
    </row>
    <row r="79" spans="1:14" s="20" customFormat="1">
      <c r="A79" s="253"/>
      <c r="B79" s="231"/>
      <c r="C79" s="32" t="s">
        <v>47</v>
      </c>
      <c r="D79" s="77">
        <v>22020605</v>
      </c>
      <c r="E79" s="135" t="s">
        <v>768</v>
      </c>
      <c r="F79" s="136">
        <v>600000</v>
      </c>
      <c r="G79" s="28">
        <v>600000</v>
      </c>
      <c r="H79" s="28"/>
      <c r="I79" s="28"/>
      <c r="J79" s="28">
        <v>600000</v>
      </c>
      <c r="K79" s="488">
        <f t="shared" si="11"/>
        <v>26280</v>
      </c>
      <c r="L79" s="469">
        <v>573720</v>
      </c>
      <c r="M79" s="28">
        <f>G79*10%+G79</f>
        <v>660000</v>
      </c>
      <c r="N79" s="28">
        <f t="shared" ref="N79:N82" si="14">M79*10%+M79</f>
        <v>726000</v>
      </c>
    </row>
    <row r="80" spans="1:14" s="20" customFormat="1">
      <c r="A80" s="253"/>
      <c r="B80" s="231"/>
      <c r="C80" s="32" t="s">
        <v>47</v>
      </c>
      <c r="D80" s="77">
        <v>22020701</v>
      </c>
      <c r="E80" s="135" t="s">
        <v>1734</v>
      </c>
      <c r="F80" s="136">
        <v>900000</v>
      </c>
      <c r="G80" s="28">
        <v>900000</v>
      </c>
      <c r="H80" s="28"/>
      <c r="I80" s="28"/>
      <c r="J80" s="28">
        <v>900000</v>
      </c>
      <c r="K80" s="488">
        <f t="shared" si="11"/>
        <v>39420</v>
      </c>
      <c r="L80" s="469">
        <v>860580</v>
      </c>
      <c r="M80" s="28">
        <f>G80*10%+G80</f>
        <v>990000</v>
      </c>
      <c r="N80" s="28">
        <f t="shared" si="14"/>
        <v>1089000</v>
      </c>
    </row>
    <row r="81" spans="1:14" s="20" customFormat="1">
      <c r="A81" s="253"/>
      <c r="B81" s="231"/>
      <c r="C81" s="32" t="s">
        <v>47</v>
      </c>
      <c r="D81" s="77">
        <v>22020703</v>
      </c>
      <c r="E81" s="135" t="s">
        <v>770</v>
      </c>
      <c r="F81" s="136">
        <v>1800000</v>
      </c>
      <c r="G81" s="28">
        <v>1800000</v>
      </c>
      <c r="H81" s="28"/>
      <c r="I81" s="28"/>
      <c r="J81" s="28">
        <v>1800000</v>
      </c>
      <c r="K81" s="488">
        <f t="shared" si="11"/>
        <v>78840</v>
      </c>
      <c r="L81" s="469">
        <v>1721160</v>
      </c>
      <c r="M81" s="28">
        <f>G81*10%+G81</f>
        <v>1980000</v>
      </c>
      <c r="N81" s="28">
        <f t="shared" si="14"/>
        <v>2178000</v>
      </c>
    </row>
    <row r="82" spans="1:14" s="20" customFormat="1">
      <c r="A82" s="253"/>
      <c r="B82" s="231"/>
      <c r="C82" s="32" t="s">
        <v>47</v>
      </c>
      <c r="D82" s="77">
        <v>22020709</v>
      </c>
      <c r="E82" s="135" t="s">
        <v>771</v>
      </c>
      <c r="F82" s="136">
        <v>1700000</v>
      </c>
      <c r="G82" s="28">
        <v>700000</v>
      </c>
      <c r="H82" s="28"/>
      <c r="I82" s="28"/>
      <c r="J82" s="28">
        <v>700000</v>
      </c>
      <c r="K82" s="488">
        <f t="shared" si="11"/>
        <v>30660</v>
      </c>
      <c r="L82" s="469">
        <v>669340</v>
      </c>
      <c r="M82" s="28">
        <f>G82*10%+G82</f>
        <v>770000</v>
      </c>
      <c r="N82" s="28">
        <f t="shared" si="14"/>
        <v>847000</v>
      </c>
    </row>
    <row r="83" spans="1:14" s="20" customFormat="1">
      <c r="A83" s="253"/>
      <c r="B83" s="231"/>
      <c r="C83" s="32" t="s">
        <v>47</v>
      </c>
      <c r="D83" s="77">
        <v>22020801</v>
      </c>
      <c r="E83" s="135" t="s">
        <v>747</v>
      </c>
      <c r="F83" s="136">
        <v>64269000</v>
      </c>
      <c r="G83" s="28">
        <v>15000000</v>
      </c>
      <c r="H83" s="28"/>
      <c r="I83" s="28"/>
      <c r="J83" s="28">
        <v>15000000</v>
      </c>
      <c r="K83" s="488">
        <f t="shared" si="11"/>
        <v>657000</v>
      </c>
      <c r="L83" s="469">
        <v>14343000</v>
      </c>
      <c r="M83" s="28">
        <v>35034500</v>
      </c>
      <c r="N83" s="28">
        <v>20424500</v>
      </c>
    </row>
    <row r="84" spans="1:14" s="20" customFormat="1">
      <c r="A84" s="253"/>
      <c r="B84" s="231"/>
      <c r="C84" s="32" t="s">
        <v>47</v>
      </c>
      <c r="D84" s="77">
        <v>22020803</v>
      </c>
      <c r="E84" s="135" t="s">
        <v>748</v>
      </c>
      <c r="F84" s="136">
        <v>365400</v>
      </c>
      <c r="G84" s="28">
        <v>365400</v>
      </c>
      <c r="H84" s="28"/>
      <c r="I84" s="28"/>
      <c r="J84" s="28">
        <v>365400</v>
      </c>
      <c r="K84" s="488">
        <f t="shared" si="11"/>
        <v>16004.519999999999</v>
      </c>
      <c r="L84" s="469">
        <v>349395.48000000004</v>
      </c>
      <c r="M84" s="28">
        <f>G84*10%+G84</f>
        <v>401940</v>
      </c>
      <c r="N84" s="28">
        <f>M84*10%+M84</f>
        <v>442134</v>
      </c>
    </row>
    <row r="85" spans="1:14" s="20" customFormat="1">
      <c r="A85" s="253"/>
      <c r="B85" s="231"/>
      <c r="C85" s="32" t="s">
        <v>47</v>
      </c>
      <c r="D85" s="77">
        <v>22021001</v>
      </c>
      <c r="E85" s="135" t="s">
        <v>772</v>
      </c>
      <c r="F85" s="136">
        <v>520000</v>
      </c>
      <c r="G85" s="28">
        <v>520000</v>
      </c>
      <c r="H85" s="28"/>
      <c r="I85" s="28"/>
      <c r="J85" s="28">
        <v>520000</v>
      </c>
      <c r="K85" s="488">
        <f t="shared" si="11"/>
        <v>22776</v>
      </c>
      <c r="L85" s="469">
        <v>497224</v>
      </c>
      <c r="M85" s="28">
        <v>200000</v>
      </c>
      <c r="N85" s="28">
        <v>100000</v>
      </c>
    </row>
    <row r="86" spans="1:14" s="20" customFormat="1">
      <c r="A86" s="253"/>
      <c r="B86" s="231"/>
      <c r="C86" s="32" t="s">
        <v>47</v>
      </c>
      <c r="D86" s="77">
        <v>22021003</v>
      </c>
      <c r="E86" s="135" t="s">
        <v>760</v>
      </c>
      <c r="F86" s="136">
        <v>18260000</v>
      </c>
      <c r="G86" s="28">
        <v>5260000</v>
      </c>
      <c r="H86" s="28"/>
      <c r="I86" s="28"/>
      <c r="J86" s="28">
        <v>5260000</v>
      </c>
      <c r="K86" s="488">
        <f t="shared" si="11"/>
        <v>230388</v>
      </c>
      <c r="L86" s="469">
        <v>5029612</v>
      </c>
      <c r="M86" s="28">
        <v>3600000</v>
      </c>
      <c r="N86" s="28">
        <v>0</v>
      </c>
    </row>
    <row r="87" spans="1:14" s="20" customFormat="1">
      <c r="A87" s="238"/>
      <c r="B87" s="231"/>
      <c r="C87" s="30" t="s">
        <v>1837</v>
      </c>
      <c r="D87" s="23"/>
      <c r="E87" s="25"/>
      <c r="F87" s="137">
        <f>SUM(F66:F86)</f>
        <v>177896150</v>
      </c>
      <c r="G87" s="114">
        <f>SUM(G66:G86)</f>
        <v>63829150</v>
      </c>
      <c r="H87" s="114">
        <f t="shared" ref="H87:I87" si="15">SUM(H66:H86)</f>
        <v>0</v>
      </c>
      <c r="I87" s="114">
        <f t="shared" si="15"/>
        <v>0</v>
      </c>
      <c r="J87" s="114">
        <f t="shared" ref="J87:N87" si="16">SUM(J66:J86)</f>
        <v>63829150</v>
      </c>
      <c r="K87" s="490">
        <f t="shared" si="16"/>
        <v>2795716.77</v>
      </c>
      <c r="L87" s="468">
        <f t="shared" si="16"/>
        <v>61033433.229999997</v>
      </c>
      <c r="M87" s="114">
        <f t="shared" si="16"/>
        <v>99061585</v>
      </c>
      <c r="N87" s="114">
        <f t="shared" si="16"/>
        <v>75480228.5</v>
      </c>
    </row>
    <row r="88" spans="1:14" s="20" customFormat="1" ht="30">
      <c r="A88" s="238" t="s">
        <v>763</v>
      </c>
      <c r="B88" s="231" t="s">
        <v>1841</v>
      </c>
      <c r="C88" s="30"/>
      <c r="D88" s="23"/>
      <c r="E88" s="25"/>
      <c r="F88" s="137">
        <f>F87+F65</f>
        <v>315855942.68000001</v>
      </c>
      <c r="G88" s="114">
        <f>G87+G65</f>
        <v>201788942.68000001</v>
      </c>
      <c r="H88" s="114">
        <f t="shared" ref="H88:I88" si="17">H87+H65</f>
        <v>0</v>
      </c>
      <c r="I88" s="114">
        <f t="shared" si="17"/>
        <v>0</v>
      </c>
      <c r="J88" s="114">
        <f>J87+J65</f>
        <v>201788942.68000001</v>
      </c>
      <c r="K88" s="490"/>
      <c r="L88" s="468">
        <f>L87+L65</f>
        <v>198993225.91</v>
      </c>
      <c r="M88" s="114">
        <f>M87+M65</f>
        <v>120928676.66800003</v>
      </c>
      <c r="N88" s="114">
        <f>N87+N65</f>
        <v>99534029.334800035</v>
      </c>
    </row>
    <row r="89" spans="1:14" s="20" customFormat="1" ht="21">
      <c r="A89" s="252"/>
      <c r="B89" s="443"/>
      <c r="C89" s="228"/>
      <c r="D89" s="229"/>
      <c r="E89" s="230"/>
      <c r="F89" s="215"/>
      <c r="G89" s="296"/>
      <c r="H89" s="296"/>
      <c r="I89" s="296"/>
      <c r="J89" s="28"/>
      <c r="K89" s="488"/>
      <c r="L89" s="468"/>
      <c r="M89" s="296"/>
      <c r="N89" s="296"/>
    </row>
    <row r="90" spans="1:14" s="20" customFormat="1">
      <c r="A90" s="238" t="s">
        <v>773</v>
      </c>
      <c r="B90" s="231" t="s">
        <v>113</v>
      </c>
      <c r="C90" s="32" t="s">
        <v>46</v>
      </c>
      <c r="D90" s="77">
        <v>21010101</v>
      </c>
      <c r="E90" s="135" t="s">
        <v>725</v>
      </c>
      <c r="F90" s="136">
        <v>19497197.039999999</v>
      </c>
      <c r="G90" s="28">
        <v>19497197.039999999</v>
      </c>
      <c r="H90" s="28"/>
      <c r="I90" s="28"/>
      <c r="J90" s="28">
        <v>19497197.039999999</v>
      </c>
      <c r="K90" s="488"/>
      <c r="L90" s="467">
        <v>19497197.039999999</v>
      </c>
      <c r="M90" s="28">
        <f t="shared" ref="M90:M97" si="18">G90*10%+G90</f>
        <v>21446916.743999999</v>
      </c>
      <c r="N90" s="28">
        <f>M90*10%+M90</f>
        <v>23591608.418399997</v>
      </c>
    </row>
    <row r="91" spans="1:14" s="20" customFormat="1">
      <c r="A91" s="253"/>
      <c r="B91" s="231"/>
      <c r="C91" s="32" t="s">
        <v>46</v>
      </c>
      <c r="D91" s="77">
        <v>21020101</v>
      </c>
      <c r="E91" s="135" t="s">
        <v>774</v>
      </c>
      <c r="F91" s="136">
        <v>4869358.9800000004</v>
      </c>
      <c r="G91" s="28">
        <v>4869358.9800000004</v>
      </c>
      <c r="H91" s="28"/>
      <c r="I91" s="28"/>
      <c r="J91" s="28">
        <v>4869358.9800000004</v>
      </c>
      <c r="K91" s="488"/>
      <c r="L91" s="467">
        <v>4869358.9800000004</v>
      </c>
      <c r="M91" s="28">
        <f t="shared" si="18"/>
        <v>5356294.8780000005</v>
      </c>
      <c r="N91" s="28">
        <f t="shared" ref="N91:N97" si="19">M91*10%+M91</f>
        <v>5891924.3658000007</v>
      </c>
    </row>
    <row r="92" spans="1:14" s="20" customFormat="1">
      <c r="A92" s="253"/>
      <c r="B92" s="231"/>
      <c r="C92" s="32" t="s">
        <v>46</v>
      </c>
      <c r="D92" s="77">
        <v>21020102</v>
      </c>
      <c r="E92" s="135" t="s">
        <v>727</v>
      </c>
      <c r="F92" s="136">
        <v>1947805.44</v>
      </c>
      <c r="G92" s="28">
        <v>1947805.44</v>
      </c>
      <c r="H92" s="28"/>
      <c r="I92" s="28"/>
      <c r="J92" s="28">
        <v>1947805.44</v>
      </c>
      <c r="K92" s="488"/>
      <c r="L92" s="467">
        <v>1947805.44</v>
      </c>
      <c r="M92" s="28">
        <f t="shared" si="18"/>
        <v>2142585.9840000002</v>
      </c>
      <c r="N92" s="28">
        <f t="shared" si="19"/>
        <v>2356844.5824000002</v>
      </c>
    </row>
    <row r="93" spans="1:14" s="20" customFormat="1">
      <c r="A93" s="253"/>
      <c r="B93" s="231"/>
      <c r="C93" s="32" t="s">
        <v>46</v>
      </c>
      <c r="D93" s="77">
        <v>21020103</v>
      </c>
      <c r="E93" s="135" t="s">
        <v>775</v>
      </c>
      <c r="F93" s="136">
        <v>973901.16</v>
      </c>
      <c r="G93" s="28">
        <v>973901.16</v>
      </c>
      <c r="H93" s="28"/>
      <c r="I93" s="28"/>
      <c r="J93" s="28">
        <v>973901.16</v>
      </c>
      <c r="K93" s="488"/>
      <c r="L93" s="467">
        <v>973901.16</v>
      </c>
      <c r="M93" s="28">
        <f t="shared" si="18"/>
        <v>1071291.2760000001</v>
      </c>
      <c r="N93" s="28">
        <f t="shared" si="19"/>
        <v>1178420.4036000001</v>
      </c>
    </row>
    <row r="94" spans="1:14" s="20" customFormat="1">
      <c r="A94" s="253"/>
      <c r="B94" s="231"/>
      <c r="C94" s="32" t="s">
        <v>46</v>
      </c>
      <c r="D94" s="77">
        <v>21020104</v>
      </c>
      <c r="E94" s="135" t="s">
        <v>729</v>
      </c>
      <c r="F94" s="136">
        <v>973901.16</v>
      </c>
      <c r="G94" s="28">
        <v>973901.16</v>
      </c>
      <c r="H94" s="28"/>
      <c r="I94" s="28"/>
      <c r="J94" s="28">
        <v>973901.16</v>
      </c>
      <c r="K94" s="488"/>
      <c r="L94" s="467">
        <v>973901.16</v>
      </c>
      <c r="M94" s="28">
        <f t="shared" si="18"/>
        <v>1071291.2760000001</v>
      </c>
      <c r="N94" s="28">
        <f t="shared" si="19"/>
        <v>1178420.4036000001</v>
      </c>
    </row>
    <row r="95" spans="1:14" s="20" customFormat="1">
      <c r="A95" s="253"/>
      <c r="B95" s="231"/>
      <c r="C95" s="32" t="s">
        <v>46</v>
      </c>
      <c r="D95" s="77">
        <v>21020106</v>
      </c>
      <c r="E95" s="135" t="s">
        <v>776</v>
      </c>
      <c r="F95" s="136">
        <v>1927929.71</v>
      </c>
      <c r="G95" s="28">
        <v>1927929.71</v>
      </c>
      <c r="H95" s="28"/>
      <c r="I95" s="28"/>
      <c r="J95" s="28">
        <v>1927929.71</v>
      </c>
      <c r="K95" s="488"/>
      <c r="L95" s="467">
        <v>1927929.71</v>
      </c>
      <c r="M95" s="28">
        <f t="shared" si="18"/>
        <v>2120722.6809999999</v>
      </c>
      <c r="N95" s="28">
        <f t="shared" si="19"/>
        <v>2332794.9490999999</v>
      </c>
    </row>
    <row r="96" spans="1:14" s="20" customFormat="1">
      <c r="A96" s="253"/>
      <c r="B96" s="231"/>
      <c r="C96" s="32" t="s">
        <v>46</v>
      </c>
      <c r="D96" s="77">
        <v>21020124</v>
      </c>
      <c r="E96" s="135" t="s">
        <v>734</v>
      </c>
      <c r="F96" s="136">
        <v>1188240</v>
      </c>
      <c r="G96" s="28">
        <v>1188240</v>
      </c>
      <c r="H96" s="28"/>
      <c r="I96" s="28"/>
      <c r="J96" s="28">
        <v>1188240</v>
      </c>
      <c r="K96" s="488"/>
      <c r="L96" s="467">
        <v>1188240</v>
      </c>
      <c r="M96" s="28">
        <f t="shared" si="18"/>
        <v>1307064</v>
      </c>
      <c r="N96" s="28">
        <f t="shared" si="19"/>
        <v>1437770.4</v>
      </c>
    </row>
    <row r="97" spans="1:14" s="20" customFormat="1">
      <c r="A97" s="253"/>
      <c r="B97" s="231"/>
      <c r="C97" s="32" t="s">
        <v>46</v>
      </c>
      <c r="D97" s="77">
        <v>21010102</v>
      </c>
      <c r="E97" s="135" t="s">
        <v>1732</v>
      </c>
      <c r="F97" s="136">
        <v>5436000</v>
      </c>
      <c r="G97" s="28">
        <v>5436000</v>
      </c>
      <c r="H97" s="28"/>
      <c r="I97" s="28"/>
      <c r="J97" s="28">
        <v>5436000</v>
      </c>
      <c r="K97" s="488"/>
      <c r="L97" s="467">
        <v>5436000</v>
      </c>
      <c r="M97" s="28">
        <f t="shared" si="18"/>
        <v>5979600</v>
      </c>
      <c r="N97" s="28">
        <f t="shared" si="19"/>
        <v>6577560</v>
      </c>
    </row>
    <row r="98" spans="1:14" s="20" customFormat="1">
      <c r="A98" s="253"/>
      <c r="B98" s="231"/>
      <c r="C98" s="30" t="s">
        <v>1842</v>
      </c>
      <c r="D98" s="23"/>
      <c r="E98" s="25"/>
      <c r="F98" s="137">
        <f>SUM(F90:F97)</f>
        <v>36814333.490000002</v>
      </c>
      <c r="G98" s="114">
        <f>SUM(G90:G97)</f>
        <v>36814333.490000002</v>
      </c>
      <c r="H98" s="114">
        <f t="shared" ref="H98:M98" si="20">SUM(H90:H97)</f>
        <v>0</v>
      </c>
      <c r="I98" s="114">
        <f t="shared" si="20"/>
        <v>0</v>
      </c>
      <c r="J98" s="114">
        <f>SUM(J90:J97)</f>
        <v>36814333.490000002</v>
      </c>
      <c r="K98" s="490"/>
      <c r="L98" s="468">
        <f>SUM(L90:L97)</f>
        <v>36814333.490000002</v>
      </c>
      <c r="M98" s="114">
        <f t="shared" si="20"/>
        <v>40495766.839000002</v>
      </c>
      <c r="N98" s="114">
        <f>SUM(N90:N97)</f>
        <v>44545343.5229</v>
      </c>
    </row>
    <row r="99" spans="1:14" s="20" customFormat="1">
      <c r="A99" s="253"/>
      <c r="B99" s="231"/>
      <c r="C99" s="32" t="s">
        <v>47</v>
      </c>
      <c r="D99" s="77">
        <v>22020301</v>
      </c>
      <c r="E99" s="135" t="s">
        <v>737</v>
      </c>
      <c r="F99" s="136">
        <v>1349020</v>
      </c>
      <c r="G99" s="28">
        <v>1349020</v>
      </c>
      <c r="H99" s="28"/>
      <c r="I99" s="28"/>
      <c r="J99" s="28">
        <v>1349020</v>
      </c>
      <c r="K99" s="488">
        <f>J99*4.38%</f>
        <v>59087.076000000001</v>
      </c>
      <c r="L99" s="469">
        <v>1289932.9240000001</v>
      </c>
      <c r="M99" s="28">
        <v>1349020</v>
      </c>
      <c r="N99" s="28">
        <v>1349020</v>
      </c>
    </row>
    <row r="100" spans="1:14" s="20" customFormat="1">
      <c r="A100" s="253"/>
      <c r="B100" s="231"/>
      <c r="C100" s="32" t="s">
        <v>47</v>
      </c>
      <c r="D100" s="77">
        <v>22020401</v>
      </c>
      <c r="E100" s="135" t="s">
        <v>741</v>
      </c>
      <c r="F100" s="136">
        <v>342000</v>
      </c>
      <c r="G100" s="28">
        <v>342000</v>
      </c>
      <c r="H100" s="28"/>
      <c r="I100" s="28"/>
      <c r="J100" s="28">
        <v>342000</v>
      </c>
      <c r="K100" s="488">
        <f t="shared" ref="K100:K106" si="21">J100*4.38%</f>
        <v>14979.6</v>
      </c>
      <c r="L100" s="469">
        <v>327020.40000000002</v>
      </c>
      <c r="M100" s="28">
        <v>342000</v>
      </c>
      <c r="N100" s="28">
        <v>342000</v>
      </c>
    </row>
    <row r="101" spans="1:14" s="20" customFormat="1">
      <c r="A101" s="253"/>
      <c r="B101" s="231"/>
      <c r="C101" s="32" t="s">
        <v>47</v>
      </c>
      <c r="D101" s="77">
        <v>22020402</v>
      </c>
      <c r="E101" s="135" t="s">
        <v>757</v>
      </c>
      <c r="F101" s="136">
        <v>294000</v>
      </c>
      <c r="G101" s="28">
        <v>294000</v>
      </c>
      <c r="H101" s="28"/>
      <c r="I101" s="28"/>
      <c r="J101" s="28">
        <v>294000</v>
      </c>
      <c r="K101" s="488">
        <f t="shared" si="21"/>
        <v>12877.199999999999</v>
      </c>
      <c r="L101" s="469">
        <v>281122.8</v>
      </c>
      <c r="M101" s="28">
        <v>294000</v>
      </c>
      <c r="N101" s="28">
        <v>294000</v>
      </c>
    </row>
    <row r="102" spans="1:14" s="20" customFormat="1">
      <c r="A102" s="253"/>
      <c r="B102" s="231"/>
      <c r="C102" s="32" t="s">
        <v>47</v>
      </c>
      <c r="D102" s="77">
        <v>22020405</v>
      </c>
      <c r="E102" s="135" t="s">
        <v>743</v>
      </c>
      <c r="F102" s="136">
        <v>952737</v>
      </c>
      <c r="G102" s="28">
        <v>952737</v>
      </c>
      <c r="H102" s="28"/>
      <c r="I102" s="28"/>
      <c r="J102" s="28">
        <v>952737</v>
      </c>
      <c r="K102" s="488">
        <f t="shared" si="21"/>
        <v>41729.880599999997</v>
      </c>
      <c r="L102" s="469">
        <v>911007.11940000008</v>
      </c>
      <c r="M102" s="28">
        <v>952737</v>
      </c>
      <c r="N102" s="28">
        <v>952737</v>
      </c>
    </row>
    <row r="103" spans="1:14" s="20" customFormat="1">
      <c r="A103" s="253"/>
      <c r="B103" s="231"/>
      <c r="C103" s="32" t="s">
        <v>47</v>
      </c>
      <c r="D103" s="77">
        <v>22020406</v>
      </c>
      <c r="E103" s="135" t="s">
        <v>758</v>
      </c>
      <c r="F103" s="136">
        <v>9245982</v>
      </c>
      <c r="G103" s="28">
        <f>9245982-1737811</f>
        <v>7508171</v>
      </c>
      <c r="H103" s="28"/>
      <c r="I103" s="28"/>
      <c r="J103" s="28">
        <v>7508171</v>
      </c>
      <c r="K103" s="488">
        <f t="shared" si="21"/>
        <v>328857.8898</v>
      </c>
      <c r="L103" s="469">
        <v>7179313.1102</v>
      </c>
      <c r="M103" s="28">
        <v>9245982</v>
      </c>
      <c r="N103" s="28">
        <v>9245982</v>
      </c>
    </row>
    <row r="104" spans="1:14" s="20" customFormat="1">
      <c r="A104" s="253"/>
      <c r="B104" s="231"/>
      <c r="C104" s="32" t="s">
        <v>47</v>
      </c>
      <c r="D104" s="77">
        <v>22020901</v>
      </c>
      <c r="E104" s="135" t="s">
        <v>749</v>
      </c>
      <c r="F104" s="136">
        <v>10000</v>
      </c>
      <c r="G104" s="28">
        <v>10000</v>
      </c>
      <c r="H104" s="28"/>
      <c r="I104" s="28"/>
      <c r="J104" s="28">
        <v>10000</v>
      </c>
      <c r="K104" s="488">
        <f t="shared" si="21"/>
        <v>438</v>
      </c>
      <c r="L104" s="469">
        <v>9562</v>
      </c>
      <c r="M104" s="28">
        <v>10000</v>
      </c>
      <c r="N104" s="28">
        <v>10000</v>
      </c>
    </row>
    <row r="105" spans="1:14" s="20" customFormat="1">
      <c r="A105" s="253"/>
      <c r="B105" s="231"/>
      <c r="C105" s="32" t="s">
        <v>47</v>
      </c>
      <c r="D105" s="77">
        <v>22021001</v>
      </c>
      <c r="E105" s="135" t="s">
        <v>772</v>
      </c>
      <c r="F105" s="136">
        <v>50000</v>
      </c>
      <c r="G105" s="28">
        <v>50000</v>
      </c>
      <c r="H105" s="28"/>
      <c r="I105" s="28"/>
      <c r="J105" s="28">
        <v>50000</v>
      </c>
      <c r="K105" s="488">
        <f t="shared" si="21"/>
        <v>2190</v>
      </c>
      <c r="L105" s="469">
        <v>47810</v>
      </c>
      <c r="M105" s="28">
        <v>50000</v>
      </c>
      <c r="N105" s="28">
        <v>50000</v>
      </c>
    </row>
    <row r="106" spans="1:14" s="20" customFormat="1">
      <c r="A106" s="253"/>
      <c r="B106" s="231"/>
      <c r="C106" s="32" t="s">
        <v>47</v>
      </c>
      <c r="D106" s="77">
        <v>22021003</v>
      </c>
      <c r="E106" s="135" t="s">
        <v>760</v>
      </c>
      <c r="F106" s="136">
        <f>283680+392</f>
        <v>284072</v>
      </c>
      <c r="G106" s="28">
        <f>283680+392</f>
        <v>284072</v>
      </c>
      <c r="H106" s="28"/>
      <c r="I106" s="28"/>
      <c r="J106" s="28">
        <v>284072</v>
      </c>
      <c r="K106" s="488">
        <f t="shared" si="21"/>
        <v>12442.3536</v>
      </c>
      <c r="L106" s="469">
        <v>271629.64640000003</v>
      </c>
      <c r="M106" s="28">
        <v>283680</v>
      </c>
      <c r="N106" s="28">
        <v>283680</v>
      </c>
    </row>
    <row r="107" spans="1:14" s="20" customFormat="1">
      <c r="A107" s="238"/>
      <c r="B107" s="231"/>
      <c r="C107" s="30" t="s">
        <v>1837</v>
      </c>
      <c r="D107" s="23"/>
      <c r="E107" s="25"/>
      <c r="F107" s="137">
        <f>SUM(F99:F106)</f>
        <v>12527811</v>
      </c>
      <c r="G107" s="114">
        <f>SUM(G99:G106)</f>
        <v>10790000</v>
      </c>
      <c r="H107" s="114">
        <f t="shared" ref="H107:I107" si="22">SUM(H99:H106)</f>
        <v>0</v>
      </c>
      <c r="I107" s="114">
        <f t="shared" si="22"/>
        <v>0</v>
      </c>
      <c r="J107" s="114">
        <f t="shared" ref="J107:N107" si="23">SUM(J99:J106)</f>
        <v>10790000</v>
      </c>
      <c r="K107" s="490">
        <f t="shared" si="23"/>
        <v>472601.99999999994</v>
      </c>
      <c r="L107" s="468">
        <f t="shared" si="23"/>
        <v>10317398</v>
      </c>
      <c r="M107" s="114">
        <f t="shared" si="23"/>
        <v>12527419</v>
      </c>
      <c r="N107" s="114">
        <f t="shared" si="23"/>
        <v>12527419</v>
      </c>
    </row>
    <row r="108" spans="1:14" s="66" customFormat="1" ht="30">
      <c r="A108" s="238" t="s">
        <v>773</v>
      </c>
      <c r="B108" s="231" t="s">
        <v>1843</v>
      </c>
      <c r="C108" s="30"/>
      <c r="D108" s="23"/>
      <c r="E108" s="25"/>
      <c r="F108" s="137">
        <f>F107+F98</f>
        <v>49342144.490000002</v>
      </c>
      <c r="G108" s="114">
        <f>G107+G98</f>
        <v>47604333.490000002</v>
      </c>
      <c r="H108" s="114">
        <f t="shared" ref="H108:I108" si="24">H107+H98</f>
        <v>0</v>
      </c>
      <c r="I108" s="114">
        <f t="shared" si="24"/>
        <v>0</v>
      </c>
      <c r="J108" s="114">
        <f>J107+J98</f>
        <v>47604333.490000002</v>
      </c>
      <c r="K108" s="490"/>
      <c r="L108" s="468">
        <f>L107+L98</f>
        <v>47131731.490000002</v>
      </c>
      <c r="M108" s="114">
        <f>M107+M98</f>
        <v>53023185.839000002</v>
      </c>
      <c r="N108" s="114">
        <f>N107+N98</f>
        <v>57072762.5229</v>
      </c>
    </row>
    <row r="109" spans="1:14" s="20" customFormat="1" ht="21">
      <c r="A109" s="252"/>
      <c r="B109" s="443"/>
      <c r="C109" s="228"/>
      <c r="D109" s="229"/>
      <c r="E109" s="230"/>
      <c r="F109" s="215"/>
      <c r="G109" s="296"/>
      <c r="H109" s="296"/>
      <c r="I109" s="296"/>
      <c r="J109" s="28"/>
      <c r="K109" s="488"/>
      <c r="L109" s="468"/>
      <c r="M109" s="296"/>
      <c r="N109" s="296"/>
    </row>
    <row r="110" spans="1:14" s="20" customFormat="1">
      <c r="A110" s="238" t="s">
        <v>777</v>
      </c>
      <c r="B110" s="231" t="s">
        <v>160</v>
      </c>
      <c r="C110" s="32" t="s">
        <v>46</v>
      </c>
      <c r="D110" s="77">
        <v>21010101</v>
      </c>
      <c r="E110" s="135" t="s">
        <v>725</v>
      </c>
      <c r="F110" s="136">
        <v>92306129.040000007</v>
      </c>
      <c r="G110" s="28">
        <v>92306129.040000007</v>
      </c>
      <c r="H110" s="28"/>
      <c r="I110" s="28"/>
      <c r="J110" s="28">
        <v>92306129.040000007</v>
      </c>
      <c r="K110" s="488"/>
      <c r="L110" s="467">
        <v>92306129.040000007</v>
      </c>
      <c r="M110" s="28">
        <f t="shared" ref="M110:M118" si="25">G110*10%+G110</f>
        <v>101536741.94400001</v>
      </c>
      <c r="N110" s="28">
        <f>M110*10%+M110</f>
        <v>111690416.1384</v>
      </c>
    </row>
    <row r="111" spans="1:14" s="20" customFormat="1">
      <c r="A111" s="253"/>
      <c r="B111" s="231"/>
      <c r="C111" s="32" t="s">
        <v>46</v>
      </c>
      <c r="D111" s="77">
        <v>21020101</v>
      </c>
      <c r="E111" s="135" t="s">
        <v>726</v>
      </c>
      <c r="F111" s="136">
        <v>23076532.260000002</v>
      </c>
      <c r="G111" s="28">
        <v>23076532.260000002</v>
      </c>
      <c r="H111" s="28"/>
      <c r="I111" s="28"/>
      <c r="J111" s="28">
        <v>23076532.260000002</v>
      </c>
      <c r="K111" s="488"/>
      <c r="L111" s="467">
        <v>23076532.260000002</v>
      </c>
      <c r="M111" s="28">
        <f t="shared" si="25"/>
        <v>25384185.486000001</v>
      </c>
      <c r="N111" s="28">
        <f t="shared" ref="N111:N118" si="26">M111*10%+M111</f>
        <v>27922604.034600001</v>
      </c>
    </row>
    <row r="112" spans="1:14" s="20" customFormat="1">
      <c r="A112" s="253"/>
      <c r="B112" s="231"/>
      <c r="C112" s="32" t="s">
        <v>46</v>
      </c>
      <c r="D112" s="77">
        <v>21020102</v>
      </c>
      <c r="E112" s="135" t="s">
        <v>727</v>
      </c>
      <c r="F112" s="136">
        <v>9230612.9000000004</v>
      </c>
      <c r="G112" s="28">
        <v>9230612.9000000004</v>
      </c>
      <c r="H112" s="28"/>
      <c r="I112" s="28"/>
      <c r="J112" s="28">
        <v>9230612.9000000004</v>
      </c>
      <c r="K112" s="488"/>
      <c r="L112" s="467">
        <v>9230612.9000000004</v>
      </c>
      <c r="M112" s="28">
        <f t="shared" si="25"/>
        <v>10153674.190000001</v>
      </c>
      <c r="N112" s="28">
        <f t="shared" si="26"/>
        <v>11169041.609000001</v>
      </c>
    </row>
    <row r="113" spans="1:14" s="20" customFormat="1">
      <c r="A113" s="253"/>
      <c r="B113" s="231"/>
      <c r="C113" s="32" t="s">
        <v>46</v>
      </c>
      <c r="D113" s="77">
        <v>21020103</v>
      </c>
      <c r="E113" s="135" t="s">
        <v>728</v>
      </c>
      <c r="F113" s="136">
        <v>4615306.45</v>
      </c>
      <c r="G113" s="28">
        <v>4615306.45</v>
      </c>
      <c r="H113" s="28"/>
      <c r="I113" s="28"/>
      <c r="J113" s="28">
        <v>4615306.45</v>
      </c>
      <c r="K113" s="488"/>
      <c r="L113" s="467">
        <v>4615306.45</v>
      </c>
      <c r="M113" s="28">
        <f t="shared" si="25"/>
        <v>5076837.0950000007</v>
      </c>
      <c r="N113" s="28">
        <f t="shared" si="26"/>
        <v>5584520.8045000006</v>
      </c>
    </row>
    <row r="114" spans="1:14" s="20" customFormat="1">
      <c r="A114" s="253"/>
      <c r="B114" s="231"/>
      <c r="C114" s="32" t="s">
        <v>46</v>
      </c>
      <c r="D114" s="77">
        <v>21020104</v>
      </c>
      <c r="E114" s="135" t="s">
        <v>729</v>
      </c>
      <c r="F114" s="136">
        <v>4615306.45</v>
      </c>
      <c r="G114" s="28">
        <v>4615306.45</v>
      </c>
      <c r="H114" s="28"/>
      <c r="I114" s="28"/>
      <c r="J114" s="28">
        <v>4615306.45</v>
      </c>
      <c r="K114" s="488"/>
      <c r="L114" s="467">
        <v>4615306.45</v>
      </c>
      <c r="M114" s="28">
        <f t="shared" si="25"/>
        <v>5076837.0950000007</v>
      </c>
      <c r="N114" s="28">
        <f t="shared" si="26"/>
        <v>5584520.8045000006</v>
      </c>
    </row>
    <row r="115" spans="1:14" s="20" customFormat="1">
      <c r="A115" s="253"/>
      <c r="B115" s="231"/>
      <c r="C115" s="32" t="s">
        <v>46</v>
      </c>
      <c r="D115" s="77">
        <v>21020105</v>
      </c>
      <c r="E115" s="135" t="s">
        <v>730</v>
      </c>
      <c r="F115" s="136">
        <v>307523.88</v>
      </c>
      <c r="G115" s="28">
        <v>307523.88</v>
      </c>
      <c r="H115" s="28"/>
      <c r="I115" s="28"/>
      <c r="J115" s="28">
        <v>307523.88</v>
      </c>
      <c r="K115" s="488"/>
      <c r="L115" s="467">
        <v>307523.88</v>
      </c>
      <c r="M115" s="28">
        <f t="shared" si="25"/>
        <v>338276.26799999998</v>
      </c>
      <c r="N115" s="28">
        <f t="shared" si="26"/>
        <v>372103.89480000001</v>
      </c>
    </row>
    <row r="116" spans="1:14" s="20" customFormat="1">
      <c r="A116" s="253"/>
      <c r="B116" s="231"/>
      <c r="C116" s="32" t="s">
        <v>46</v>
      </c>
      <c r="D116" s="77">
        <v>21020106</v>
      </c>
      <c r="E116" s="135" t="s">
        <v>731</v>
      </c>
      <c r="F116" s="136">
        <v>9230612.9000000004</v>
      </c>
      <c r="G116" s="28">
        <v>9230612.9000000004</v>
      </c>
      <c r="H116" s="28"/>
      <c r="I116" s="28"/>
      <c r="J116" s="28">
        <v>9230612.9000000004</v>
      </c>
      <c r="K116" s="488"/>
      <c r="L116" s="467">
        <v>9230612.9000000004</v>
      </c>
      <c r="M116" s="28">
        <f t="shared" si="25"/>
        <v>10153674.190000001</v>
      </c>
      <c r="N116" s="28">
        <f t="shared" si="26"/>
        <v>11169041.609000001</v>
      </c>
    </row>
    <row r="117" spans="1:14" s="20" customFormat="1">
      <c r="A117" s="253"/>
      <c r="B117" s="231"/>
      <c r="C117" s="32" t="s">
        <v>46</v>
      </c>
      <c r="D117" s="77">
        <v>21020107</v>
      </c>
      <c r="E117" s="135" t="s">
        <v>732</v>
      </c>
      <c r="F117" s="136">
        <v>2808000</v>
      </c>
      <c r="G117" s="28">
        <v>2808000</v>
      </c>
      <c r="H117" s="28"/>
      <c r="I117" s="28"/>
      <c r="J117" s="28">
        <v>2808000</v>
      </c>
      <c r="K117" s="488"/>
      <c r="L117" s="467">
        <v>2808000</v>
      </c>
      <c r="M117" s="28">
        <f t="shared" si="25"/>
        <v>3088800</v>
      </c>
      <c r="N117" s="28">
        <f t="shared" si="26"/>
        <v>3397680</v>
      </c>
    </row>
    <row r="118" spans="1:14" s="20" customFormat="1">
      <c r="A118" s="253"/>
      <c r="B118" s="231"/>
      <c r="C118" s="32" t="s">
        <v>46</v>
      </c>
      <c r="D118" s="77">
        <v>21020139</v>
      </c>
      <c r="E118" s="135" t="s">
        <v>778</v>
      </c>
      <c r="F118" s="136">
        <v>46153064.520000003</v>
      </c>
      <c r="G118" s="28">
        <v>46153064.520000003</v>
      </c>
      <c r="H118" s="28"/>
      <c r="I118" s="28"/>
      <c r="J118" s="28">
        <v>46153064.520000003</v>
      </c>
      <c r="K118" s="488"/>
      <c r="L118" s="467">
        <v>46153064.520000003</v>
      </c>
      <c r="M118" s="28">
        <f t="shared" si="25"/>
        <v>50768370.972000003</v>
      </c>
      <c r="N118" s="28">
        <f t="shared" si="26"/>
        <v>55845208.069200002</v>
      </c>
    </row>
    <row r="119" spans="1:14" s="20" customFormat="1">
      <c r="A119" s="253"/>
      <c r="B119" s="231"/>
      <c r="C119" s="30" t="s">
        <v>1842</v>
      </c>
      <c r="D119" s="23"/>
      <c r="E119" s="25"/>
      <c r="F119" s="137">
        <f>SUM(F110:F118)</f>
        <v>192343088.40000004</v>
      </c>
      <c r="G119" s="114">
        <f>SUM(G110:G118)</f>
        <v>192343088.40000004</v>
      </c>
      <c r="H119" s="114">
        <f t="shared" ref="H119:M119" si="27">SUM(H110:H118)</f>
        <v>0</v>
      </c>
      <c r="I119" s="114">
        <f t="shared" si="27"/>
        <v>0</v>
      </c>
      <c r="J119" s="114">
        <f>SUM(J110:J118)</f>
        <v>192343088.40000004</v>
      </c>
      <c r="K119" s="490">
        <f>SUM(K110:K118)</f>
        <v>0</v>
      </c>
      <c r="L119" s="468">
        <f>SUM(L110:L118)</f>
        <v>192343088.40000004</v>
      </c>
      <c r="M119" s="114">
        <f t="shared" si="27"/>
        <v>211577397.24000001</v>
      </c>
      <c r="N119" s="114">
        <f>SUM(N110:N118)</f>
        <v>232735136.96400005</v>
      </c>
    </row>
    <row r="120" spans="1:14" s="20" customFormat="1">
      <c r="A120" s="253"/>
      <c r="B120" s="231"/>
      <c r="C120" s="32" t="s">
        <v>47</v>
      </c>
      <c r="D120" s="77">
        <v>22020105</v>
      </c>
      <c r="E120" s="135" t="s">
        <v>736</v>
      </c>
      <c r="F120" s="136">
        <v>2550000</v>
      </c>
      <c r="G120" s="28">
        <v>2550000</v>
      </c>
      <c r="H120" s="28"/>
      <c r="I120" s="28"/>
      <c r="J120" s="28">
        <v>2550000</v>
      </c>
      <c r="K120" s="488">
        <f>J120*4.38%</f>
        <v>111690</v>
      </c>
      <c r="L120" s="469">
        <v>2438310</v>
      </c>
      <c r="M120" s="28">
        <v>20550000</v>
      </c>
      <c r="N120" s="28">
        <v>20550000</v>
      </c>
    </row>
    <row r="121" spans="1:14" s="20" customFormat="1">
      <c r="A121" s="253"/>
      <c r="B121" s="231"/>
      <c r="C121" s="32" t="s">
        <v>47</v>
      </c>
      <c r="D121" s="77">
        <v>22020203</v>
      </c>
      <c r="E121" s="135" t="s">
        <v>779</v>
      </c>
      <c r="F121" s="136">
        <v>1020000</v>
      </c>
      <c r="G121" s="28">
        <v>1020000</v>
      </c>
      <c r="H121" s="28"/>
      <c r="I121" s="28"/>
      <c r="J121" s="28">
        <v>1020000</v>
      </c>
      <c r="K121" s="488">
        <f t="shared" ref="K121:K144" si="28">J121*4.38%</f>
        <v>44676</v>
      </c>
      <c r="L121" s="469">
        <v>975324</v>
      </c>
      <c r="M121" s="28">
        <v>10420000</v>
      </c>
      <c r="N121" s="28">
        <v>10420000</v>
      </c>
    </row>
    <row r="122" spans="1:14" s="20" customFormat="1">
      <c r="A122" s="253"/>
      <c r="B122" s="231"/>
      <c r="C122" s="32" t="s">
        <v>47</v>
      </c>
      <c r="D122" s="77">
        <v>22020204</v>
      </c>
      <c r="E122" s="135" t="s">
        <v>780</v>
      </c>
      <c r="F122" s="136">
        <v>12000000</v>
      </c>
      <c r="G122" s="28">
        <v>8000000</v>
      </c>
      <c r="H122" s="28"/>
      <c r="I122" s="28"/>
      <c r="J122" s="28">
        <v>8000000</v>
      </c>
      <c r="K122" s="488">
        <f t="shared" si="28"/>
        <v>350400</v>
      </c>
      <c r="L122" s="469">
        <v>7649600</v>
      </c>
      <c r="M122" s="28">
        <v>12000000</v>
      </c>
      <c r="N122" s="28">
        <v>12000000</v>
      </c>
    </row>
    <row r="123" spans="1:14" s="20" customFormat="1">
      <c r="A123" s="253"/>
      <c r="B123" s="231"/>
      <c r="C123" s="32" t="s">
        <v>47</v>
      </c>
      <c r="D123" s="77">
        <v>22020301</v>
      </c>
      <c r="E123" s="135" t="s">
        <v>737</v>
      </c>
      <c r="F123" s="136">
        <v>977750</v>
      </c>
      <c r="G123" s="28">
        <v>977750</v>
      </c>
      <c r="H123" s="28"/>
      <c r="I123" s="28"/>
      <c r="J123" s="28">
        <v>977750</v>
      </c>
      <c r="K123" s="488">
        <f t="shared" si="28"/>
        <v>42825.45</v>
      </c>
      <c r="L123" s="469">
        <v>934924.55</v>
      </c>
      <c r="M123" s="28">
        <v>977750</v>
      </c>
      <c r="N123" s="28">
        <v>977750</v>
      </c>
    </row>
    <row r="124" spans="1:14" s="20" customFormat="1">
      <c r="A124" s="253"/>
      <c r="B124" s="231"/>
      <c r="C124" s="32" t="s">
        <v>47</v>
      </c>
      <c r="D124" s="77">
        <v>22020305</v>
      </c>
      <c r="E124" s="135" t="s">
        <v>755</v>
      </c>
      <c r="F124" s="136">
        <v>4800000</v>
      </c>
      <c r="G124" s="28">
        <v>2800000</v>
      </c>
      <c r="H124" s="28"/>
      <c r="I124" s="28"/>
      <c r="J124" s="28">
        <v>2800000</v>
      </c>
      <c r="K124" s="488">
        <f t="shared" si="28"/>
        <v>122640</v>
      </c>
      <c r="L124" s="469">
        <v>2677360</v>
      </c>
      <c r="M124" s="28">
        <v>4800000</v>
      </c>
      <c r="N124" s="28">
        <v>4800000</v>
      </c>
    </row>
    <row r="125" spans="1:14" s="20" customFormat="1">
      <c r="A125" s="253"/>
      <c r="B125" s="231"/>
      <c r="C125" s="32" t="s">
        <v>47</v>
      </c>
      <c r="D125" s="77">
        <v>22020306</v>
      </c>
      <c r="E125" s="135" t="s">
        <v>765</v>
      </c>
      <c r="F125" s="136">
        <v>1800000</v>
      </c>
      <c r="G125" s="28">
        <v>1800000</v>
      </c>
      <c r="H125" s="28"/>
      <c r="I125" s="28"/>
      <c r="J125" s="28">
        <v>1800000</v>
      </c>
      <c r="K125" s="488">
        <f t="shared" si="28"/>
        <v>78840</v>
      </c>
      <c r="L125" s="469">
        <v>1721160</v>
      </c>
      <c r="M125" s="28">
        <v>1800000</v>
      </c>
      <c r="N125" s="28">
        <v>1800000</v>
      </c>
    </row>
    <row r="126" spans="1:14" s="20" customFormat="1">
      <c r="A126" s="253"/>
      <c r="B126" s="231"/>
      <c r="C126" s="32" t="s">
        <v>47</v>
      </c>
      <c r="D126" s="77">
        <v>22020309</v>
      </c>
      <c r="E126" s="135" t="s">
        <v>739</v>
      </c>
      <c r="F126" s="136">
        <v>520000</v>
      </c>
      <c r="G126" s="28">
        <v>0</v>
      </c>
      <c r="H126" s="28"/>
      <c r="I126" s="28"/>
      <c r="J126" s="28">
        <v>0</v>
      </c>
      <c r="K126" s="488">
        <f t="shared" si="28"/>
        <v>0</v>
      </c>
      <c r="L126" s="469">
        <v>0</v>
      </c>
      <c r="M126" s="28">
        <v>520000</v>
      </c>
      <c r="N126" s="28">
        <v>520000</v>
      </c>
    </row>
    <row r="127" spans="1:14" s="20" customFormat="1">
      <c r="A127" s="253"/>
      <c r="B127" s="231"/>
      <c r="C127" s="32" t="s">
        <v>47</v>
      </c>
      <c r="D127" s="77">
        <v>22020315</v>
      </c>
      <c r="E127" s="135" t="s">
        <v>740</v>
      </c>
      <c r="F127" s="136">
        <v>536000</v>
      </c>
      <c r="G127" s="28">
        <v>536000</v>
      </c>
      <c r="H127" s="28"/>
      <c r="I127" s="28"/>
      <c r="J127" s="28">
        <v>536000</v>
      </c>
      <c r="K127" s="488">
        <f t="shared" si="28"/>
        <v>23476.799999999999</v>
      </c>
      <c r="L127" s="469">
        <v>512523.2</v>
      </c>
      <c r="M127" s="28">
        <v>536000</v>
      </c>
      <c r="N127" s="28">
        <v>536000</v>
      </c>
    </row>
    <row r="128" spans="1:14" s="20" customFormat="1">
      <c r="A128" s="253"/>
      <c r="B128" s="231"/>
      <c r="C128" s="32" t="s">
        <v>47</v>
      </c>
      <c r="D128" s="77">
        <v>22020401</v>
      </c>
      <c r="E128" s="135" t="s">
        <v>741</v>
      </c>
      <c r="F128" s="136">
        <v>2150000</v>
      </c>
      <c r="G128" s="28">
        <v>1150000</v>
      </c>
      <c r="H128" s="28"/>
      <c r="I128" s="28"/>
      <c r="J128" s="28">
        <v>1150000</v>
      </c>
      <c r="K128" s="488">
        <f t="shared" si="28"/>
        <v>50370</v>
      </c>
      <c r="L128" s="469">
        <v>1099630</v>
      </c>
      <c r="M128" s="28">
        <v>2150000</v>
      </c>
      <c r="N128" s="28">
        <v>2150000</v>
      </c>
    </row>
    <row r="129" spans="1:14" s="20" customFormat="1">
      <c r="A129" s="253"/>
      <c r="B129" s="231"/>
      <c r="C129" s="32" t="s">
        <v>47</v>
      </c>
      <c r="D129" s="77">
        <v>22020402</v>
      </c>
      <c r="E129" s="135" t="s">
        <v>757</v>
      </c>
      <c r="F129" s="136">
        <v>100000</v>
      </c>
      <c r="G129" s="28">
        <v>100000</v>
      </c>
      <c r="H129" s="28"/>
      <c r="I129" s="28"/>
      <c r="J129" s="28">
        <v>100000</v>
      </c>
      <c r="K129" s="488">
        <f t="shared" si="28"/>
        <v>4380</v>
      </c>
      <c r="L129" s="469">
        <v>95620</v>
      </c>
      <c r="M129" s="28">
        <v>100000</v>
      </c>
      <c r="N129" s="28">
        <v>100000</v>
      </c>
    </row>
    <row r="130" spans="1:14" s="20" customFormat="1">
      <c r="A130" s="253"/>
      <c r="B130" s="231"/>
      <c r="C130" s="32" t="s">
        <v>47</v>
      </c>
      <c r="D130" s="77">
        <v>22020403</v>
      </c>
      <c r="E130" s="135" t="s">
        <v>781</v>
      </c>
      <c r="F130" s="136">
        <v>1000000</v>
      </c>
      <c r="G130" s="28">
        <v>1000000</v>
      </c>
      <c r="H130" s="28"/>
      <c r="I130" s="28"/>
      <c r="J130" s="28">
        <v>1000000</v>
      </c>
      <c r="K130" s="488">
        <f t="shared" si="28"/>
        <v>43800</v>
      </c>
      <c r="L130" s="469">
        <v>956200</v>
      </c>
      <c r="M130" s="28">
        <v>1000000</v>
      </c>
      <c r="N130" s="28">
        <v>1000000</v>
      </c>
    </row>
    <row r="131" spans="1:14" s="20" customFormat="1">
      <c r="A131" s="253"/>
      <c r="B131" s="231"/>
      <c r="C131" s="32" t="s">
        <v>47</v>
      </c>
      <c r="D131" s="77">
        <v>22020405</v>
      </c>
      <c r="E131" s="135" t="s">
        <v>743</v>
      </c>
      <c r="F131" s="136">
        <v>4056000</v>
      </c>
      <c r="G131" s="28">
        <v>4056000</v>
      </c>
      <c r="H131" s="28"/>
      <c r="I131" s="28"/>
      <c r="J131" s="28">
        <v>4056000</v>
      </c>
      <c r="K131" s="488">
        <f t="shared" si="28"/>
        <v>177652.8</v>
      </c>
      <c r="L131" s="469">
        <v>3878347.2</v>
      </c>
      <c r="M131" s="28">
        <v>4056000</v>
      </c>
      <c r="N131" s="28">
        <v>4056000</v>
      </c>
    </row>
    <row r="132" spans="1:14" s="20" customFormat="1">
      <c r="A132" s="253"/>
      <c r="B132" s="231"/>
      <c r="C132" s="32" t="s">
        <v>47</v>
      </c>
      <c r="D132" s="77">
        <v>22020416</v>
      </c>
      <c r="E132" s="135" t="s">
        <v>782</v>
      </c>
      <c r="F132" s="136">
        <v>140000</v>
      </c>
      <c r="G132" s="28">
        <v>140000</v>
      </c>
      <c r="H132" s="28"/>
      <c r="I132" s="28"/>
      <c r="J132" s="28">
        <v>140000</v>
      </c>
      <c r="K132" s="488">
        <f t="shared" si="28"/>
        <v>6132</v>
      </c>
      <c r="L132" s="469">
        <v>133868</v>
      </c>
      <c r="M132" s="28">
        <v>140000</v>
      </c>
      <c r="N132" s="28">
        <v>140000</v>
      </c>
    </row>
    <row r="133" spans="1:14" s="20" customFormat="1">
      <c r="A133" s="253"/>
      <c r="B133" s="231"/>
      <c r="C133" s="32" t="s">
        <v>47</v>
      </c>
      <c r="D133" s="77">
        <v>22020506</v>
      </c>
      <c r="E133" s="135" t="s">
        <v>783</v>
      </c>
      <c r="F133" s="136">
        <v>50000000</v>
      </c>
      <c r="G133" s="28">
        <v>50000000</v>
      </c>
      <c r="H133" s="28"/>
      <c r="I133" s="28"/>
      <c r="J133" s="28">
        <v>50000000</v>
      </c>
      <c r="K133" s="488">
        <f t="shared" si="28"/>
        <v>2190000</v>
      </c>
      <c r="L133" s="469">
        <v>47810000</v>
      </c>
      <c r="M133" s="28">
        <v>10000000</v>
      </c>
      <c r="N133" s="28">
        <v>10000000</v>
      </c>
    </row>
    <row r="134" spans="1:14" s="20" customFormat="1">
      <c r="A134" s="253"/>
      <c r="B134" s="231"/>
      <c r="C134" s="32" t="s">
        <v>47</v>
      </c>
      <c r="D134" s="77">
        <v>22020601</v>
      </c>
      <c r="E134" s="135" t="s">
        <v>766</v>
      </c>
      <c r="F134" s="136">
        <v>6480000</v>
      </c>
      <c r="G134" s="28">
        <v>2480000</v>
      </c>
      <c r="H134" s="28"/>
      <c r="I134" s="28"/>
      <c r="J134" s="28">
        <v>2480000</v>
      </c>
      <c r="K134" s="488">
        <f t="shared" si="28"/>
        <v>108624</v>
      </c>
      <c r="L134" s="469">
        <v>2371376</v>
      </c>
      <c r="M134" s="28">
        <v>6480000</v>
      </c>
      <c r="N134" s="28">
        <v>6480000</v>
      </c>
    </row>
    <row r="135" spans="1:14" s="20" customFormat="1">
      <c r="A135" s="253"/>
      <c r="B135" s="231"/>
      <c r="C135" s="32" t="s">
        <v>47</v>
      </c>
      <c r="D135" s="77">
        <v>22020602</v>
      </c>
      <c r="E135" s="135" t="s">
        <v>767</v>
      </c>
      <c r="F135" s="136">
        <v>2000000</v>
      </c>
      <c r="G135" s="28">
        <v>2000000</v>
      </c>
      <c r="H135" s="28"/>
      <c r="I135" s="28"/>
      <c r="J135" s="28">
        <v>2000000</v>
      </c>
      <c r="K135" s="488">
        <f t="shared" si="28"/>
        <v>87600</v>
      </c>
      <c r="L135" s="469">
        <v>1912400</v>
      </c>
      <c r="M135" s="28">
        <v>2000000</v>
      </c>
      <c r="N135" s="28">
        <v>2000000</v>
      </c>
    </row>
    <row r="136" spans="1:14" s="20" customFormat="1">
      <c r="A136" s="253"/>
      <c r="B136" s="231"/>
      <c r="C136" s="32" t="s">
        <v>47</v>
      </c>
      <c r="D136" s="77">
        <v>22020605</v>
      </c>
      <c r="E136" s="135" t="s">
        <v>768</v>
      </c>
      <c r="F136" s="136">
        <v>920000</v>
      </c>
      <c r="G136" s="28">
        <v>920000</v>
      </c>
      <c r="H136" s="28"/>
      <c r="I136" s="28"/>
      <c r="J136" s="28">
        <v>920000</v>
      </c>
      <c r="K136" s="488">
        <f t="shared" si="28"/>
        <v>40296</v>
      </c>
      <c r="L136" s="469">
        <v>879704</v>
      </c>
      <c r="M136" s="28">
        <v>920000</v>
      </c>
      <c r="N136" s="28">
        <v>920000</v>
      </c>
    </row>
    <row r="137" spans="1:14" s="20" customFormat="1">
      <c r="A137" s="253"/>
      <c r="B137" s="231"/>
      <c r="C137" s="32" t="s">
        <v>47</v>
      </c>
      <c r="D137" s="77">
        <v>22020709</v>
      </c>
      <c r="E137" s="135" t="s">
        <v>771</v>
      </c>
      <c r="F137" s="136">
        <v>500000</v>
      </c>
      <c r="G137" s="28">
        <v>500000</v>
      </c>
      <c r="H137" s="28"/>
      <c r="I137" s="28"/>
      <c r="J137" s="28">
        <v>500000</v>
      </c>
      <c r="K137" s="488">
        <f t="shared" si="28"/>
        <v>21900</v>
      </c>
      <c r="L137" s="469">
        <v>478100</v>
      </c>
      <c r="M137" s="28">
        <v>500000</v>
      </c>
      <c r="N137" s="28">
        <v>500000</v>
      </c>
    </row>
    <row r="138" spans="1:14" s="20" customFormat="1">
      <c r="A138" s="253"/>
      <c r="B138" s="231"/>
      <c r="C138" s="32" t="s">
        <v>47</v>
      </c>
      <c r="D138" s="77">
        <v>22020801</v>
      </c>
      <c r="E138" s="135" t="s">
        <v>747</v>
      </c>
      <c r="F138" s="136">
        <v>3672000</v>
      </c>
      <c r="G138" s="28">
        <v>1672000</v>
      </c>
      <c r="H138" s="28"/>
      <c r="I138" s="28"/>
      <c r="J138" s="28">
        <v>1672000</v>
      </c>
      <c r="K138" s="488">
        <f t="shared" si="28"/>
        <v>73233.599999999991</v>
      </c>
      <c r="L138" s="469">
        <v>1598766.4000000001</v>
      </c>
      <c r="M138" s="28">
        <v>3672000</v>
      </c>
      <c r="N138" s="28">
        <v>3672000</v>
      </c>
    </row>
    <row r="139" spans="1:14" s="20" customFormat="1">
      <c r="A139" s="253"/>
      <c r="B139" s="231"/>
      <c r="C139" s="32" t="s">
        <v>47</v>
      </c>
      <c r="D139" s="77">
        <v>22020803</v>
      </c>
      <c r="E139" s="135" t="s">
        <v>748</v>
      </c>
      <c r="F139" s="136">
        <v>10000000</v>
      </c>
      <c r="G139" s="28">
        <v>10000000</v>
      </c>
      <c r="H139" s="28">
        <v>25898667</v>
      </c>
      <c r="I139" s="28"/>
      <c r="J139" s="28">
        <v>35898667</v>
      </c>
      <c r="K139" s="488">
        <f t="shared" si="28"/>
        <v>1572361.6146</v>
      </c>
      <c r="L139" s="469">
        <v>34326305.385400005</v>
      </c>
      <c r="M139" s="28">
        <v>34500000</v>
      </c>
      <c r="N139" s="28">
        <v>34500000</v>
      </c>
    </row>
    <row r="140" spans="1:14" s="20" customFormat="1">
      <c r="A140" s="253"/>
      <c r="B140" s="231"/>
      <c r="C140" s="32" t="s">
        <v>47</v>
      </c>
      <c r="D140" s="77">
        <v>22020901</v>
      </c>
      <c r="E140" s="135" t="s">
        <v>749</v>
      </c>
      <c r="F140" s="136">
        <v>60000</v>
      </c>
      <c r="G140" s="28">
        <v>60000</v>
      </c>
      <c r="H140" s="28"/>
      <c r="I140" s="28"/>
      <c r="J140" s="28">
        <v>60000</v>
      </c>
      <c r="K140" s="488">
        <f t="shared" si="28"/>
        <v>2628</v>
      </c>
      <c r="L140" s="469">
        <v>57372</v>
      </c>
      <c r="M140" s="28">
        <v>60000</v>
      </c>
      <c r="N140" s="28">
        <v>60000</v>
      </c>
    </row>
    <row r="141" spans="1:14" s="20" customFormat="1">
      <c r="A141" s="253"/>
      <c r="B141" s="231"/>
      <c r="C141" s="32" t="s">
        <v>47</v>
      </c>
      <c r="D141" s="77">
        <v>22020906</v>
      </c>
      <c r="E141" s="135" t="s">
        <v>759</v>
      </c>
      <c r="F141" s="136">
        <v>7500000</v>
      </c>
      <c r="G141" s="28">
        <v>7000000</v>
      </c>
      <c r="H141" s="28"/>
      <c r="I141" s="28"/>
      <c r="J141" s="28">
        <v>7000000</v>
      </c>
      <c r="K141" s="488">
        <f t="shared" si="28"/>
        <v>306600</v>
      </c>
      <c r="L141" s="469">
        <v>6693400</v>
      </c>
      <c r="M141" s="28">
        <v>10800000</v>
      </c>
      <c r="N141" s="28">
        <v>10800000</v>
      </c>
    </row>
    <row r="142" spans="1:14" s="20" customFormat="1">
      <c r="A142" s="253"/>
      <c r="B142" s="231"/>
      <c r="C142" s="32" t="s">
        <v>47</v>
      </c>
      <c r="D142" s="77">
        <v>22021001</v>
      </c>
      <c r="E142" s="135" t="s">
        <v>772</v>
      </c>
      <c r="F142" s="136">
        <v>1350000</v>
      </c>
      <c r="G142" s="28">
        <v>350000</v>
      </c>
      <c r="H142" s="28"/>
      <c r="I142" s="28"/>
      <c r="J142" s="28">
        <v>350000</v>
      </c>
      <c r="K142" s="488">
        <f t="shared" si="28"/>
        <v>15330</v>
      </c>
      <c r="L142" s="469">
        <v>334670</v>
      </c>
      <c r="M142" s="28">
        <v>1350000</v>
      </c>
      <c r="N142" s="28">
        <v>1350000</v>
      </c>
    </row>
    <row r="143" spans="1:14" s="20" customFormat="1">
      <c r="A143" s="253"/>
      <c r="B143" s="231"/>
      <c r="C143" s="32" t="s">
        <v>47</v>
      </c>
      <c r="D143" s="77">
        <v>22021008</v>
      </c>
      <c r="E143" s="135" t="s">
        <v>784</v>
      </c>
      <c r="F143" s="136">
        <v>1000000</v>
      </c>
      <c r="G143" s="28">
        <v>0</v>
      </c>
      <c r="H143" s="28"/>
      <c r="I143" s="28"/>
      <c r="J143" s="28">
        <v>0</v>
      </c>
      <c r="K143" s="488">
        <f t="shared" si="28"/>
        <v>0</v>
      </c>
      <c r="L143" s="469">
        <v>0</v>
      </c>
      <c r="M143" s="28">
        <v>1000000</v>
      </c>
      <c r="N143" s="28">
        <v>1000000</v>
      </c>
    </row>
    <row r="144" spans="1:14" s="20" customFormat="1">
      <c r="A144" s="253"/>
      <c r="B144" s="231"/>
      <c r="C144" s="32" t="s">
        <v>47</v>
      </c>
      <c r="D144" s="77">
        <v>22080002</v>
      </c>
      <c r="E144" s="135" t="s">
        <v>785</v>
      </c>
      <c r="F144" s="136">
        <v>6000000</v>
      </c>
      <c r="G144" s="28">
        <v>6000000</v>
      </c>
      <c r="H144" s="28"/>
      <c r="I144" s="28"/>
      <c r="J144" s="28">
        <v>6000000</v>
      </c>
      <c r="K144" s="488">
        <f t="shared" si="28"/>
        <v>262800</v>
      </c>
      <c r="L144" s="469">
        <v>5737200</v>
      </c>
      <c r="M144" s="28">
        <v>6000000</v>
      </c>
      <c r="N144" s="28">
        <v>6000000</v>
      </c>
    </row>
    <row r="145" spans="1:14" s="20" customFormat="1">
      <c r="A145" s="238"/>
      <c r="B145" s="231"/>
      <c r="C145" s="30" t="s">
        <v>1837</v>
      </c>
      <c r="D145" s="23"/>
      <c r="E145" s="25"/>
      <c r="F145" s="137">
        <f>SUM(F120:F144)</f>
        <v>121131750</v>
      </c>
      <c r="G145" s="114">
        <f>SUM(G120:G144)</f>
        <v>105111750</v>
      </c>
      <c r="H145" s="114">
        <f t="shared" ref="H145:M145" si="29">SUM(H120:H144)</f>
        <v>25898667</v>
      </c>
      <c r="I145" s="114">
        <f t="shared" si="29"/>
        <v>0</v>
      </c>
      <c r="J145" s="114">
        <f>SUM(J120:J144)</f>
        <v>131010417</v>
      </c>
      <c r="K145" s="490">
        <f>SUM(K120:K144)</f>
        <v>5738256.2645999994</v>
      </c>
      <c r="L145" s="468">
        <f>SUM(L120:L144)</f>
        <v>125272160.73540002</v>
      </c>
      <c r="M145" s="114">
        <f t="shared" si="29"/>
        <v>136331750</v>
      </c>
      <c r="N145" s="114">
        <f>SUM(N120:N144)</f>
        <v>136331750</v>
      </c>
    </row>
    <row r="146" spans="1:14" s="66" customFormat="1" ht="30">
      <c r="A146" s="238" t="s">
        <v>777</v>
      </c>
      <c r="B146" s="231" t="s">
        <v>786</v>
      </c>
      <c r="C146" s="30"/>
      <c r="D146" s="23"/>
      <c r="E146" s="25"/>
      <c r="F146" s="137">
        <f>F145+F119</f>
        <v>313474838.40000004</v>
      </c>
      <c r="G146" s="114">
        <f>G145+G119</f>
        <v>297454838.40000004</v>
      </c>
      <c r="H146" s="114">
        <f t="shared" ref="H146:M146" si="30">H145+H119</f>
        <v>25898667</v>
      </c>
      <c r="I146" s="114">
        <f t="shared" si="30"/>
        <v>0</v>
      </c>
      <c r="J146" s="114">
        <f>J145+J119</f>
        <v>323353505.40000004</v>
      </c>
      <c r="K146" s="490"/>
      <c r="L146" s="468">
        <f>L145+L119</f>
        <v>317615249.13540006</v>
      </c>
      <c r="M146" s="114">
        <f t="shared" si="30"/>
        <v>347909147.24000001</v>
      </c>
      <c r="N146" s="114">
        <f>N145+N119</f>
        <v>369066886.96400005</v>
      </c>
    </row>
    <row r="147" spans="1:14" s="20" customFormat="1" ht="21">
      <c r="A147" s="252"/>
      <c r="B147" s="443"/>
      <c r="C147" s="228"/>
      <c r="D147" s="229"/>
      <c r="E147" s="230"/>
      <c r="F147" s="215"/>
      <c r="G147" s="296"/>
      <c r="H147" s="296"/>
      <c r="I147" s="296"/>
      <c r="J147" s="28"/>
      <c r="K147" s="488"/>
      <c r="L147" s="468"/>
      <c r="M147" s="296"/>
      <c r="N147" s="296"/>
    </row>
    <row r="148" spans="1:14" s="20" customFormat="1">
      <c r="A148" s="238" t="s">
        <v>1702</v>
      </c>
      <c r="B148" s="231" t="s">
        <v>787</v>
      </c>
      <c r="C148" s="32" t="s">
        <v>46</v>
      </c>
      <c r="D148" s="77" t="s">
        <v>788</v>
      </c>
      <c r="E148" s="135" t="s">
        <v>725</v>
      </c>
      <c r="F148" s="136">
        <v>34191109.200000003</v>
      </c>
      <c r="G148" s="28">
        <v>34191109.200000003</v>
      </c>
      <c r="H148" s="28"/>
      <c r="I148" s="28"/>
      <c r="J148" s="28">
        <v>34191109.200000003</v>
      </c>
      <c r="K148" s="488"/>
      <c r="L148" s="467">
        <v>34191109.200000003</v>
      </c>
      <c r="M148" s="28">
        <f t="shared" ref="M148:M155" si="31">G148*10%+G148</f>
        <v>37610220.120000005</v>
      </c>
      <c r="N148" s="28">
        <f>M148*10%+M148</f>
        <v>41371242.132000007</v>
      </c>
    </row>
    <row r="149" spans="1:14" s="20" customFormat="1">
      <c r="A149" s="253"/>
      <c r="B149" s="231"/>
      <c r="C149" s="32" t="s">
        <v>46</v>
      </c>
      <c r="D149" s="77" t="s">
        <v>789</v>
      </c>
      <c r="E149" s="135" t="s">
        <v>790</v>
      </c>
      <c r="F149" s="136">
        <v>8550859.1999999993</v>
      </c>
      <c r="G149" s="28">
        <v>8550859.1999999993</v>
      </c>
      <c r="H149" s="28"/>
      <c r="I149" s="28"/>
      <c r="J149" s="28">
        <v>8550859.1999999993</v>
      </c>
      <c r="K149" s="488"/>
      <c r="L149" s="467">
        <v>8550859.1999999993</v>
      </c>
      <c r="M149" s="28">
        <f t="shared" si="31"/>
        <v>9405945.1199999992</v>
      </c>
      <c r="N149" s="28">
        <f t="shared" ref="N149:N156" si="32">M149*10%+M149</f>
        <v>10346539.631999999</v>
      </c>
    </row>
    <row r="150" spans="1:14" s="20" customFormat="1">
      <c r="A150" s="253"/>
      <c r="B150" s="231"/>
      <c r="C150" s="32" t="s">
        <v>46</v>
      </c>
      <c r="D150" s="77" t="s">
        <v>791</v>
      </c>
      <c r="E150" s="135" t="s">
        <v>727</v>
      </c>
      <c r="F150" s="136">
        <v>3421335.24</v>
      </c>
      <c r="G150" s="28">
        <v>3421335.24</v>
      </c>
      <c r="H150" s="28"/>
      <c r="I150" s="28"/>
      <c r="J150" s="28">
        <v>3421335.24</v>
      </c>
      <c r="K150" s="488"/>
      <c r="L150" s="467">
        <v>3421335.24</v>
      </c>
      <c r="M150" s="28">
        <f t="shared" si="31"/>
        <v>3763468.7640000004</v>
      </c>
      <c r="N150" s="28">
        <f t="shared" si="32"/>
        <v>4139815.6404000004</v>
      </c>
    </row>
    <row r="151" spans="1:14" s="20" customFormat="1">
      <c r="A151" s="253"/>
      <c r="B151" s="231"/>
      <c r="C151" s="32" t="s">
        <v>46</v>
      </c>
      <c r="D151" s="77" t="s">
        <v>792</v>
      </c>
      <c r="E151" s="135" t="s">
        <v>728</v>
      </c>
      <c r="F151" s="136">
        <v>1711389.72</v>
      </c>
      <c r="G151" s="28">
        <v>1711389.72</v>
      </c>
      <c r="H151" s="28"/>
      <c r="I151" s="28"/>
      <c r="J151" s="28">
        <v>1711389.72</v>
      </c>
      <c r="K151" s="488"/>
      <c r="L151" s="467">
        <v>1711389.72</v>
      </c>
      <c r="M151" s="28">
        <f t="shared" si="31"/>
        <v>1882528.692</v>
      </c>
      <c r="N151" s="28">
        <f t="shared" si="32"/>
        <v>2070781.5612000001</v>
      </c>
    </row>
    <row r="152" spans="1:14" s="20" customFormat="1">
      <c r="A152" s="253"/>
      <c r="B152" s="231"/>
      <c r="C152" s="32" t="s">
        <v>46</v>
      </c>
      <c r="D152" s="77" t="s">
        <v>793</v>
      </c>
      <c r="E152" s="135" t="s">
        <v>729</v>
      </c>
      <c r="F152" s="136">
        <v>1711389.72</v>
      </c>
      <c r="G152" s="28">
        <v>1711389.72</v>
      </c>
      <c r="H152" s="28"/>
      <c r="I152" s="28"/>
      <c r="J152" s="28">
        <v>1711389.72</v>
      </c>
      <c r="K152" s="488"/>
      <c r="L152" s="467">
        <v>1711389.72</v>
      </c>
      <c r="M152" s="28">
        <f t="shared" si="31"/>
        <v>1882528.692</v>
      </c>
      <c r="N152" s="28">
        <f t="shared" si="32"/>
        <v>2070781.5612000001</v>
      </c>
    </row>
    <row r="153" spans="1:14" s="20" customFormat="1">
      <c r="A153" s="253"/>
      <c r="B153" s="231"/>
      <c r="C153" s="32" t="s">
        <v>46</v>
      </c>
      <c r="D153" s="77" t="s">
        <v>794</v>
      </c>
      <c r="E153" s="135" t="s">
        <v>730</v>
      </c>
      <c r="F153" s="136">
        <v>789433.68</v>
      </c>
      <c r="G153" s="28">
        <v>789433.68</v>
      </c>
      <c r="H153" s="28"/>
      <c r="I153" s="28"/>
      <c r="J153" s="28">
        <v>789433.68</v>
      </c>
      <c r="K153" s="488"/>
      <c r="L153" s="467">
        <v>789433.68</v>
      </c>
      <c r="M153" s="28">
        <f t="shared" si="31"/>
        <v>868377.04800000007</v>
      </c>
      <c r="N153" s="28">
        <f t="shared" si="32"/>
        <v>955214.75280000013</v>
      </c>
    </row>
    <row r="154" spans="1:14" s="20" customFormat="1">
      <c r="A154" s="253"/>
      <c r="B154" s="231"/>
      <c r="C154" s="32" t="s">
        <v>46</v>
      </c>
      <c r="D154" s="77" t="s">
        <v>795</v>
      </c>
      <c r="E154" s="135" t="s">
        <v>731</v>
      </c>
      <c r="F154" s="136">
        <v>3373151.0299999989</v>
      </c>
      <c r="G154" s="28">
        <v>3373151.0299999989</v>
      </c>
      <c r="H154" s="28"/>
      <c r="I154" s="28"/>
      <c r="J154" s="28">
        <v>3373151.0299999989</v>
      </c>
      <c r="K154" s="488"/>
      <c r="L154" s="467">
        <v>3373151.0299999989</v>
      </c>
      <c r="M154" s="28">
        <f t="shared" si="31"/>
        <v>3710466.1329999985</v>
      </c>
      <c r="N154" s="28">
        <f t="shared" si="32"/>
        <v>4081512.7462999984</v>
      </c>
    </row>
    <row r="155" spans="1:14" s="20" customFormat="1">
      <c r="A155" s="253"/>
      <c r="B155" s="231"/>
      <c r="C155" s="32" t="s">
        <v>46</v>
      </c>
      <c r="D155" s="77" t="s">
        <v>796</v>
      </c>
      <c r="E155" s="135" t="s">
        <v>732</v>
      </c>
      <c r="F155" s="136">
        <v>1395654.12</v>
      </c>
      <c r="G155" s="28">
        <v>1395654.12</v>
      </c>
      <c r="H155" s="28"/>
      <c r="I155" s="28"/>
      <c r="J155" s="28">
        <v>1395654.12</v>
      </c>
      <c r="K155" s="488"/>
      <c r="L155" s="467">
        <v>1395654.12</v>
      </c>
      <c r="M155" s="28">
        <f t="shared" si="31"/>
        <v>1535219.5320000001</v>
      </c>
      <c r="N155" s="28">
        <f t="shared" si="32"/>
        <v>1688741.4852000002</v>
      </c>
    </row>
    <row r="156" spans="1:14" s="20" customFormat="1">
      <c r="A156" s="253"/>
      <c r="B156" s="231"/>
      <c r="C156" s="30" t="s">
        <v>1836</v>
      </c>
      <c r="D156" s="23"/>
      <c r="E156" s="25"/>
      <c r="F156" s="137">
        <f>SUM(F148:F155)</f>
        <v>55144321.910000004</v>
      </c>
      <c r="G156" s="114">
        <f>SUM(G148:G155)</f>
        <v>55144321.910000004</v>
      </c>
      <c r="H156" s="114">
        <f t="shared" ref="H156:I156" si="33">SUM(H148:H155)</f>
        <v>0</v>
      </c>
      <c r="I156" s="114">
        <f t="shared" si="33"/>
        <v>0</v>
      </c>
      <c r="J156" s="114">
        <f>SUM(J148:J155)</f>
        <v>55144321.910000004</v>
      </c>
      <c r="K156" s="490"/>
      <c r="L156" s="468">
        <f>SUM(L148:L155)</f>
        <v>55144321.910000004</v>
      </c>
      <c r="M156" s="114">
        <f>SUM(M148:M155)</f>
        <v>60658754.101000004</v>
      </c>
      <c r="N156" s="114">
        <f t="shared" si="32"/>
        <v>66724629.511100002</v>
      </c>
    </row>
    <row r="157" spans="1:14" s="20" customFormat="1">
      <c r="A157" s="253"/>
      <c r="B157" s="231"/>
      <c r="C157" s="32" t="s">
        <v>47</v>
      </c>
      <c r="D157" s="77">
        <v>22020105</v>
      </c>
      <c r="E157" s="135" t="s">
        <v>736</v>
      </c>
      <c r="F157" s="136">
        <v>2236000</v>
      </c>
      <c r="G157" s="28">
        <v>2236000</v>
      </c>
      <c r="H157" s="28"/>
      <c r="I157" s="28"/>
      <c r="J157" s="28">
        <v>2236000</v>
      </c>
      <c r="K157" s="488">
        <f>J157*4.38%</f>
        <v>97936.8</v>
      </c>
      <c r="L157" s="469">
        <v>2138063.2000000002</v>
      </c>
      <c r="M157" s="28">
        <v>2372000</v>
      </c>
      <c r="N157" s="28">
        <v>2476000</v>
      </c>
    </row>
    <row r="158" spans="1:14" s="20" customFormat="1">
      <c r="A158" s="253"/>
      <c r="B158" s="231"/>
      <c r="C158" s="32" t="s">
        <v>47</v>
      </c>
      <c r="D158" s="77">
        <v>22020301</v>
      </c>
      <c r="E158" s="135" t="s">
        <v>737</v>
      </c>
      <c r="F158" s="136">
        <v>8695050</v>
      </c>
      <c r="G158" s="28">
        <v>8695050</v>
      </c>
      <c r="H158" s="28"/>
      <c r="I158" s="28"/>
      <c r="J158" s="28">
        <v>8695050</v>
      </c>
      <c r="K158" s="488">
        <f t="shared" ref="K158:K173" si="34">J158*4.38%</f>
        <v>380843.19</v>
      </c>
      <c r="L158" s="469">
        <v>8314206.8100000005</v>
      </c>
      <c r="M158" s="28">
        <v>8843050</v>
      </c>
      <c r="N158" s="28">
        <v>9208050</v>
      </c>
    </row>
    <row r="159" spans="1:14" s="20" customFormat="1">
      <c r="A159" s="253"/>
      <c r="B159" s="231"/>
      <c r="C159" s="32" t="s">
        <v>47</v>
      </c>
      <c r="D159" s="77">
        <v>22020305</v>
      </c>
      <c r="E159" s="135" t="s">
        <v>755</v>
      </c>
      <c r="F159" s="136">
        <v>39500000</v>
      </c>
      <c r="G159" s="28">
        <v>39500000</v>
      </c>
      <c r="H159" s="28"/>
      <c r="I159" s="28"/>
      <c r="J159" s="28">
        <v>39500000</v>
      </c>
      <c r="K159" s="488">
        <f t="shared" si="34"/>
        <v>1730100</v>
      </c>
      <c r="L159" s="469">
        <v>37769900</v>
      </c>
      <c r="M159" s="28">
        <v>39500000</v>
      </c>
      <c r="N159" s="28">
        <v>39500000</v>
      </c>
    </row>
    <row r="160" spans="1:14" s="20" customFormat="1">
      <c r="A160" s="253"/>
      <c r="B160" s="231"/>
      <c r="C160" s="32" t="s">
        <v>47</v>
      </c>
      <c r="D160" s="77">
        <v>22020306</v>
      </c>
      <c r="E160" s="135" t="s">
        <v>765</v>
      </c>
      <c r="F160" s="136">
        <v>559000</v>
      </c>
      <c r="G160" s="28">
        <v>559000</v>
      </c>
      <c r="H160" s="28"/>
      <c r="I160" s="28"/>
      <c r="J160" s="28">
        <v>559000</v>
      </c>
      <c r="K160" s="488">
        <f t="shared" si="34"/>
        <v>24484.2</v>
      </c>
      <c r="L160" s="469">
        <v>534515.80000000005</v>
      </c>
      <c r="M160" s="28">
        <v>559000</v>
      </c>
      <c r="N160" s="28">
        <v>559000</v>
      </c>
    </row>
    <row r="161" spans="1:14" s="20" customFormat="1">
      <c r="A161" s="253"/>
      <c r="B161" s="231"/>
      <c r="C161" s="32" t="s">
        <v>47</v>
      </c>
      <c r="D161" s="77">
        <v>22020312</v>
      </c>
      <c r="E161" s="135" t="s">
        <v>797</v>
      </c>
      <c r="F161" s="136">
        <v>75000</v>
      </c>
      <c r="G161" s="28">
        <v>75000</v>
      </c>
      <c r="H161" s="28"/>
      <c r="I161" s="28"/>
      <c r="J161" s="28">
        <v>75000</v>
      </c>
      <c r="K161" s="488">
        <f t="shared" si="34"/>
        <v>3285</v>
      </c>
      <c r="L161" s="469">
        <v>71715</v>
      </c>
      <c r="M161" s="28">
        <v>75000</v>
      </c>
      <c r="N161" s="28">
        <v>75000</v>
      </c>
    </row>
    <row r="162" spans="1:14" s="20" customFormat="1">
      <c r="A162" s="253"/>
      <c r="B162" s="231"/>
      <c r="C162" s="32" t="s">
        <v>47</v>
      </c>
      <c r="D162" s="77">
        <v>22020315</v>
      </c>
      <c r="E162" s="135" t="s">
        <v>740</v>
      </c>
      <c r="F162" s="136">
        <v>5300000</v>
      </c>
      <c r="G162" s="28">
        <v>5300000</v>
      </c>
      <c r="H162" s="28"/>
      <c r="I162" s="28"/>
      <c r="J162" s="28">
        <v>5300000</v>
      </c>
      <c r="K162" s="488">
        <f t="shared" si="34"/>
        <v>232140</v>
      </c>
      <c r="L162" s="469">
        <v>5067860</v>
      </c>
      <c r="M162" s="28">
        <v>5300000</v>
      </c>
      <c r="N162" s="28">
        <v>5300000</v>
      </c>
    </row>
    <row r="163" spans="1:14" s="20" customFormat="1">
      <c r="A163" s="253"/>
      <c r="B163" s="231"/>
      <c r="C163" s="32" t="s">
        <v>47</v>
      </c>
      <c r="D163" s="77">
        <v>22020401</v>
      </c>
      <c r="E163" s="135" t="s">
        <v>741</v>
      </c>
      <c r="F163" s="136">
        <v>1600000</v>
      </c>
      <c r="G163" s="28">
        <v>1600000</v>
      </c>
      <c r="H163" s="28"/>
      <c r="I163" s="28"/>
      <c r="J163" s="28">
        <v>1600000</v>
      </c>
      <c r="K163" s="488">
        <f t="shared" si="34"/>
        <v>70080</v>
      </c>
      <c r="L163" s="469">
        <v>1529920</v>
      </c>
      <c r="M163" s="28">
        <v>1600000</v>
      </c>
      <c r="N163" s="28">
        <v>2400000</v>
      </c>
    </row>
    <row r="164" spans="1:14" s="20" customFormat="1">
      <c r="A164" s="253"/>
      <c r="B164" s="231"/>
      <c r="C164" s="32" t="s">
        <v>47</v>
      </c>
      <c r="D164" s="77">
        <v>22020402</v>
      </c>
      <c r="E164" s="135" t="s">
        <v>757</v>
      </c>
      <c r="F164" s="136">
        <v>2000000</v>
      </c>
      <c r="G164" s="28">
        <v>2000000</v>
      </c>
      <c r="H164" s="28"/>
      <c r="I164" s="28"/>
      <c r="J164" s="28">
        <v>2000000</v>
      </c>
      <c r="K164" s="488">
        <f t="shared" si="34"/>
        <v>87600</v>
      </c>
      <c r="L164" s="469">
        <v>1912400</v>
      </c>
      <c r="M164" s="28">
        <v>2000000</v>
      </c>
      <c r="N164" s="28">
        <v>2000000</v>
      </c>
    </row>
    <row r="165" spans="1:14" s="20" customFormat="1">
      <c r="A165" s="253"/>
      <c r="B165" s="231"/>
      <c r="C165" s="32" t="s">
        <v>47</v>
      </c>
      <c r="D165" s="77">
        <v>22020403</v>
      </c>
      <c r="E165" s="135" t="s">
        <v>781</v>
      </c>
      <c r="F165" s="136">
        <v>400000</v>
      </c>
      <c r="G165" s="28">
        <v>400000</v>
      </c>
      <c r="H165" s="28"/>
      <c r="I165" s="28"/>
      <c r="J165" s="28">
        <v>400000</v>
      </c>
      <c r="K165" s="488">
        <f t="shared" si="34"/>
        <v>17520</v>
      </c>
      <c r="L165" s="469">
        <v>382480</v>
      </c>
      <c r="M165" s="28">
        <v>400000</v>
      </c>
      <c r="N165" s="28">
        <v>400000</v>
      </c>
    </row>
    <row r="166" spans="1:14" s="20" customFormat="1">
      <c r="A166" s="253"/>
      <c r="B166" s="231"/>
      <c r="C166" s="32" t="s">
        <v>47</v>
      </c>
      <c r="D166" s="77">
        <v>22020404</v>
      </c>
      <c r="E166" s="135" t="s">
        <v>742</v>
      </c>
      <c r="F166" s="136">
        <v>4756000</v>
      </c>
      <c r="G166" s="28">
        <v>4756000</v>
      </c>
      <c r="H166" s="28"/>
      <c r="I166" s="28"/>
      <c r="J166" s="28">
        <v>4756000</v>
      </c>
      <c r="K166" s="488">
        <f t="shared" si="34"/>
        <v>208312.8</v>
      </c>
      <c r="L166" s="469">
        <v>4547687.2</v>
      </c>
      <c r="M166" s="28">
        <v>6256000</v>
      </c>
      <c r="N166" s="28">
        <v>6256000</v>
      </c>
    </row>
    <row r="167" spans="1:14" s="20" customFormat="1">
      <c r="A167" s="253"/>
      <c r="B167" s="231"/>
      <c r="C167" s="32" t="s">
        <v>47</v>
      </c>
      <c r="D167" s="77">
        <v>22020405</v>
      </c>
      <c r="E167" s="135" t="s">
        <v>743</v>
      </c>
      <c r="F167" s="136">
        <v>240000</v>
      </c>
      <c r="G167" s="28">
        <v>240000</v>
      </c>
      <c r="H167" s="28"/>
      <c r="I167" s="28"/>
      <c r="J167" s="28">
        <v>240000</v>
      </c>
      <c r="K167" s="488">
        <f t="shared" si="34"/>
        <v>10512</v>
      </c>
      <c r="L167" s="469">
        <v>229488</v>
      </c>
      <c r="M167" s="28">
        <v>300000</v>
      </c>
      <c r="N167" s="28">
        <v>360000</v>
      </c>
    </row>
    <row r="168" spans="1:14" s="20" customFormat="1">
      <c r="A168" s="253"/>
      <c r="B168" s="231"/>
      <c r="C168" s="32" t="s">
        <v>47</v>
      </c>
      <c r="D168" s="77">
        <v>22020605</v>
      </c>
      <c r="E168" s="135" t="s">
        <v>768</v>
      </c>
      <c r="F168" s="136">
        <v>200000</v>
      </c>
      <c r="G168" s="28">
        <v>200000</v>
      </c>
      <c r="H168" s="28"/>
      <c r="I168" s="28"/>
      <c r="J168" s="28">
        <v>200000</v>
      </c>
      <c r="K168" s="488">
        <f t="shared" si="34"/>
        <v>8760</v>
      </c>
      <c r="L168" s="469">
        <v>191240</v>
      </c>
      <c r="M168" s="28">
        <v>200000</v>
      </c>
      <c r="N168" s="28">
        <v>300000</v>
      </c>
    </row>
    <row r="169" spans="1:14" s="20" customFormat="1">
      <c r="A169" s="253"/>
      <c r="B169" s="231"/>
      <c r="C169" s="32" t="s">
        <v>47</v>
      </c>
      <c r="D169" s="77">
        <v>22020801</v>
      </c>
      <c r="E169" s="135" t="s">
        <v>747</v>
      </c>
      <c r="F169" s="136">
        <v>850860</v>
      </c>
      <c r="G169" s="28">
        <v>850860</v>
      </c>
      <c r="H169" s="28"/>
      <c r="I169" s="28"/>
      <c r="J169" s="28">
        <v>850860</v>
      </c>
      <c r="K169" s="488">
        <f t="shared" si="34"/>
        <v>37267.667999999998</v>
      </c>
      <c r="L169" s="469">
        <v>813592.33200000005</v>
      </c>
      <c r="M169" s="28">
        <v>850860</v>
      </c>
      <c r="N169" s="28">
        <v>850860</v>
      </c>
    </row>
    <row r="170" spans="1:14" s="20" customFormat="1">
      <c r="A170" s="253"/>
      <c r="B170" s="231"/>
      <c r="C170" s="32" t="s">
        <v>47</v>
      </c>
      <c r="D170" s="77">
        <v>22020803</v>
      </c>
      <c r="E170" s="135" t="s">
        <v>748</v>
      </c>
      <c r="F170" s="136">
        <v>2160000</v>
      </c>
      <c r="G170" s="28">
        <v>2160000</v>
      </c>
      <c r="H170" s="28"/>
      <c r="I170" s="28"/>
      <c r="J170" s="28">
        <v>2160000</v>
      </c>
      <c r="K170" s="488">
        <f t="shared" si="34"/>
        <v>94608</v>
      </c>
      <c r="L170" s="469">
        <v>2065392</v>
      </c>
      <c r="M170" s="28">
        <v>2160000</v>
      </c>
      <c r="N170" s="28">
        <v>2160000</v>
      </c>
    </row>
    <row r="171" spans="1:14" s="20" customFormat="1">
      <c r="A171" s="253"/>
      <c r="B171" s="231"/>
      <c r="C171" s="32" t="s">
        <v>47</v>
      </c>
      <c r="D171" s="77">
        <v>22020901</v>
      </c>
      <c r="E171" s="135" t="s">
        <v>749</v>
      </c>
      <c r="F171" s="136">
        <v>10000</v>
      </c>
      <c r="G171" s="28">
        <v>10000</v>
      </c>
      <c r="H171" s="28"/>
      <c r="I171" s="28"/>
      <c r="J171" s="28">
        <v>10000</v>
      </c>
      <c r="K171" s="488">
        <f t="shared" si="34"/>
        <v>438</v>
      </c>
      <c r="L171" s="469">
        <v>9562</v>
      </c>
      <c r="M171" s="28">
        <v>10000</v>
      </c>
      <c r="N171" s="28">
        <v>10000</v>
      </c>
    </row>
    <row r="172" spans="1:14" s="20" customFormat="1">
      <c r="A172" s="253"/>
      <c r="B172" s="231"/>
      <c r="C172" s="32" t="s">
        <v>47</v>
      </c>
      <c r="D172" s="77">
        <v>22021001</v>
      </c>
      <c r="E172" s="135" t="s">
        <v>772</v>
      </c>
      <c r="F172" s="136">
        <v>415500</v>
      </c>
      <c r="G172" s="28">
        <v>415500</v>
      </c>
      <c r="H172" s="28"/>
      <c r="I172" s="28"/>
      <c r="J172" s="28">
        <v>415500</v>
      </c>
      <c r="K172" s="488">
        <f t="shared" si="34"/>
        <v>18198.899999999998</v>
      </c>
      <c r="L172" s="469">
        <v>397301.10000000003</v>
      </c>
      <c r="M172" s="28">
        <v>417000</v>
      </c>
      <c r="N172" s="28">
        <v>460500</v>
      </c>
    </row>
    <row r="173" spans="1:14" s="20" customFormat="1">
      <c r="A173" s="253"/>
      <c r="B173" s="231"/>
      <c r="C173" s="32" t="s">
        <v>47</v>
      </c>
      <c r="D173" s="77">
        <v>22021003</v>
      </c>
      <c r="E173" s="135" t="s">
        <v>760</v>
      </c>
      <c r="F173" s="136">
        <v>393408044</v>
      </c>
      <c r="G173" s="28">
        <f>393408044+200000000</f>
        <v>593408044</v>
      </c>
      <c r="H173" s="28"/>
      <c r="I173" s="28"/>
      <c r="J173" s="28">
        <v>579554955.90999997</v>
      </c>
      <c r="K173" s="488">
        <f t="shared" si="34"/>
        <v>25384507.068857998</v>
      </c>
      <c r="L173" s="469">
        <v>554170448.84114194</v>
      </c>
      <c r="M173" s="401">
        <f>G173*10%+G173</f>
        <v>652748848.39999998</v>
      </c>
      <c r="N173" s="401">
        <f>M173*10%+M173</f>
        <v>718023733.24000001</v>
      </c>
    </row>
    <row r="174" spans="1:14" s="20" customFormat="1">
      <c r="A174" s="238"/>
      <c r="B174" s="231"/>
      <c r="C174" s="30" t="s">
        <v>1839</v>
      </c>
      <c r="D174" s="23"/>
      <c r="E174" s="25"/>
      <c r="F174" s="137">
        <f>SUM(F157:F173)</f>
        <v>462405454</v>
      </c>
      <c r="G174" s="114">
        <f>SUM(G173,G156)</f>
        <v>648552365.90999997</v>
      </c>
      <c r="H174" s="114">
        <f t="shared" ref="H174:I174" si="35">SUM(H173,H156)</f>
        <v>0</v>
      </c>
      <c r="I174" s="114">
        <f t="shared" si="35"/>
        <v>0</v>
      </c>
      <c r="J174" s="114">
        <f>SUM(J157:J173)</f>
        <v>648552365.90999997</v>
      </c>
      <c r="K174" s="490">
        <f>SUM(K157:K173)</f>
        <v>28406593.626857996</v>
      </c>
      <c r="L174" s="468">
        <f>SUM(L157:L173)</f>
        <v>620145772.28314197</v>
      </c>
      <c r="M174" s="114">
        <f>SUM(M157:M173)</f>
        <v>723591758.39999998</v>
      </c>
      <c r="N174" s="114">
        <f>SUM(N157:N173)</f>
        <v>790339143.24000001</v>
      </c>
    </row>
    <row r="175" spans="1:14" s="20" customFormat="1">
      <c r="A175" s="238" t="s">
        <v>1702</v>
      </c>
      <c r="B175" s="231" t="s">
        <v>1844</v>
      </c>
      <c r="C175" s="30"/>
      <c r="D175" s="23"/>
      <c r="E175" s="473"/>
      <c r="F175" s="137">
        <f>F174+F156</f>
        <v>517549775.91000003</v>
      </c>
      <c r="G175" s="114">
        <f>G174+G156</f>
        <v>703696687.81999993</v>
      </c>
      <c r="H175" s="114">
        <f t="shared" ref="H175:I175" si="36">H174+H156</f>
        <v>0</v>
      </c>
      <c r="I175" s="114">
        <f t="shared" si="36"/>
        <v>0</v>
      </c>
      <c r="J175" s="114">
        <f>J174+J156</f>
        <v>703696687.81999993</v>
      </c>
      <c r="K175" s="490"/>
      <c r="L175" s="468">
        <f>L174+L156</f>
        <v>675290094.19314194</v>
      </c>
      <c r="M175" s="114">
        <f>M174+M156</f>
        <v>784250512.50099993</v>
      </c>
      <c r="N175" s="114">
        <f>N174+N156</f>
        <v>857063772.75110006</v>
      </c>
    </row>
    <row r="176" spans="1:14" s="20" customFormat="1" ht="21">
      <c r="A176" s="252"/>
      <c r="B176" s="443"/>
      <c r="C176" s="296"/>
      <c r="D176" s="229"/>
      <c r="E176" s="474"/>
      <c r="F176" s="215"/>
      <c r="G176" s="296"/>
      <c r="H176" s="296"/>
      <c r="I176" s="296"/>
      <c r="J176" s="29"/>
      <c r="K176" s="501"/>
      <c r="L176" s="468"/>
      <c r="M176" s="296"/>
      <c r="N176" s="296"/>
    </row>
    <row r="177" spans="1:14" s="20" customFormat="1" ht="30">
      <c r="A177" s="238" t="s">
        <v>753</v>
      </c>
      <c r="B177" s="231" t="s">
        <v>798</v>
      </c>
      <c r="C177" s="32" t="s">
        <v>46</v>
      </c>
      <c r="D177" s="77">
        <v>21010101</v>
      </c>
      <c r="E177" s="135" t="s">
        <v>725</v>
      </c>
      <c r="F177" s="136">
        <v>41597316</v>
      </c>
      <c r="G177" s="28">
        <v>41597316</v>
      </c>
      <c r="H177" s="28"/>
      <c r="I177" s="28"/>
      <c r="J177" s="28">
        <v>41597316</v>
      </c>
      <c r="K177" s="488"/>
      <c r="L177" s="467">
        <v>41597316</v>
      </c>
      <c r="M177" s="28">
        <f t="shared" ref="M177:M184" si="37">G177*10%+G177</f>
        <v>45757047.600000001</v>
      </c>
      <c r="N177" s="28">
        <f>M177*10%+M177</f>
        <v>50332752.359999999</v>
      </c>
    </row>
    <row r="178" spans="1:14" s="20" customFormat="1">
      <c r="A178" s="253"/>
      <c r="B178" s="231"/>
      <c r="C178" s="32" t="s">
        <v>46</v>
      </c>
      <c r="D178" s="77">
        <v>21020101</v>
      </c>
      <c r="E178" s="135" t="s">
        <v>726</v>
      </c>
      <c r="F178" s="136">
        <v>10235343</v>
      </c>
      <c r="G178" s="28">
        <v>10235343</v>
      </c>
      <c r="H178" s="28"/>
      <c r="I178" s="28"/>
      <c r="J178" s="28">
        <v>10235343</v>
      </c>
      <c r="K178" s="488"/>
      <c r="L178" s="467">
        <v>10235343</v>
      </c>
      <c r="M178" s="28">
        <f t="shared" si="37"/>
        <v>11258877.300000001</v>
      </c>
      <c r="N178" s="28">
        <f t="shared" ref="N178:N185" si="38">M178*10%+M178</f>
        <v>12384765.030000001</v>
      </c>
    </row>
    <row r="179" spans="1:14" s="20" customFormat="1">
      <c r="A179" s="253"/>
      <c r="B179" s="231"/>
      <c r="C179" s="32" t="s">
        <v>46</v>
      </c>
      <c r="D179" s="77">
        <v>21020102</v>
      </c>
      <c r="E179" s="135" t="s">
        <v>727</v>
      </c>
      <c r="F179" s="136">
        <v>4018996</v>
      </c>
      <c r="G179" s="28">
        <v>4018996</v>
      </c>
      <c r="H179" s="28"/>
      <c r="I179" s="28"/>
      <c r="J179" s="28">
        <v>4018996</v>
      </c>
      <c r="K179" s="488"/>
      <c r="L179" s="467">
        <v>4018996</v>
      </c>
      <c r="M179" s="28">
        <f t="shared" si="37"/>
        <v>4420895.5999999996</v>
      </c>
      <c r="N179" s="28">
        <f t="shared" si="38"/>
        <v>4862985.1599999992</v>
      </c>
    </row>
    <row r="180" spans="1:14" s="20" customFormat="1">
      <c r="A180" s="253"/>
      <c r="B180" s="231"/>
      <c r="C180" s="32" t="s">
        <v>46</v>
      </c>
      <c r="D180" s="77">
        <v>21010103</v>
      </c>
      <c r="E180" s="135" t="s">
        <v>728</v>
      </c>
      <c r="F180" s="136">
        <v>2039415</v>
      </c>
      <c r="G180" s="28">
        <v>2039415</v>
      </c>
      <c r="H180" s="28"/>
      <c r="I180" s="28"/>
      <c r="J180" s="28">
        <v>2039415</v>
      </c>
      <c r="K180" s="488"/>
      <c r="L180" s="467">
        <v>2039415</v>
      </c>
      <c r="M180" s="28">
        <f t="shared" si="37"/>
        <v>2243356.5</v>
      </c>
      <c r="N180" s="28">
        <f t="shared" si="38"/>
        <v>2467692.15</v>
      </c>
    </row>
    <row r="181" spans="1:14" s="20" customFormat="1">
      <c r="A181" s="253"/>
      <c r="B181" s="231"/>
      <c r="C181" s="32" t="s">
        <v>46</v>
      </c>
      <c r="D181" s="77">
        <v>21010104</v>
      </c>
      <c r="E181" s="135" t="s">
        <v>729</v>
      </c>
      <c r="F181" s="136">
        <v>2059415</v>
      </c>
      <c r="G181" s="28">
        <v>2059415</v>
      </c>
      <c r="H181" s="28"/>
      <c r="I181" s="28"/>
      <c r="J181" s="28">
        <v>2059415</v>
      </c>
      <c r="K181" s="488"/>
      <c r="L181" s="467">
        <v>2059415</v>
      </c>
      <c r="M181" s="28">
        <f t="shared" si="37"/>
        <v>2265356.5</v>
      </c>
      <c r="N181" s="28">
        <f t="shared" si="38"/>
        <v>2491892.15</v>
      </c>
    </row>
    <row r="182" spans="1:14" s="20" customFormat="1">
      <c r="A182" s="253"/>
      <c r="B182" s="231"/>
      <c r="C182" s="32" t="s">
        <v>46</v>
      </c>
      <c r="D182" s="77">
        <v>21010105</v>
      </c>
      <c r="E182" s="135" t="s">
        <v>730</v>
      </c>
      <c r="F182" s="136">
        <v>74976</v>
      </c>
      <c r="G182" s="28">
        <v>74976</v>
      </c>
      <c r="H182" s="28"/>
      <c r="I182" s="28"/>
      <c r="J182" s="28">
        <v>74976</v>
      </c>
      <c r="K182" s="488"/>
      <c r="L182" s="467">
        <v>74976</v>
      </c>
      <c r="M182" s="28">
        <f t="shared" si="37"/>
        <v>82473.600000000006</v>
      </c>
      <c r="N182" s="28">
        <f t="shared" si="38"/>
        <v>90720.960000000006</v>
      </c>
    </row>
    <row r="183" spans="1:14" s="20" customFormat="1">
      <c r="A183" s="253"/>
      <c r="B183" s="231"/>
      <c r="C183" s="32" t="s">
        <v>46</v>
      </c>
      <c r="D183" s="77">
        <v>21010106</v>
      </c>
      <c r="E183" s="135" t="s">
        <v>731</v>
      </c>
      <c r="F183" s="136">
        <v>3985189</v>
      </c>
      <c r="G183" s="28">
        <v>3985189</v>
      </c>
      <c r="H183" s="28"/>
      <c r="I183" s="28"/>
      <c r="J183" s="28">
        <v>3985189</v>
      </c>
      <c r="K183" s="488"/>
      <c r="L183" s="467">
        <v>3985189</v>
      </c>
      <c r="M183" s="28">
        <f t="shared" si="37"/>
        <v>4383707.9000000004</v>
      </c>
      <c r="N183" s="28">
        <f t="shared" si="38"/>
        <v>4822078.6900000004</v>
      </c>
    </row>
    <row r="184" spans="1:14" s="20" customFormat="1">
      <c r="A184" s="253"/>
      <c r="B184" s="231"/>
      <c r="C184" s="32" t="s">
        <v>46</v>
      </c>
      <c r="D184" s="77">
        <v>21010107</v>
      </c>
      <c r="E184" s="135" t="s">
        <v>732</v>
      </c>
      <c r="F184" s="136">
        <v>864000</v>
      </c>
      <c r="G184" s="28">
        <v>864000</v>
      </c>
      <c r="H184" s="28"/>
      <c r="I184" s="28"/>
      <c r="J184" s="28">
        <v>864000</v>
      </c>
      <c r="K184" s="488"/>
      <c r="L184" s="467">
        <v>864000</v>
      </c>
      <c r="M184" s="28">
        <f t="shared" si="37"/>
        <v>950400</v>
      </c>
      <c r="N184" s="28">
        <f t="shared" si="38"/>
        <v>1045440</v>
      </c>
    </row>
    <row r="185" spans="1:14" s="20" customFormat="1">
      <c r="A185" s="253"/>
      <c r="B185" s="231"/>
      <c r="C185" s="30" t="s">
        <v>1842</v>
      </c>
      <c r="D185" s="23"/>
      <c r="E185" s="25"/>
      <c r="F185" s="137">
        <f>SUM(F177:F184)</f>
        <v>64874650</v>
      </c>
      <c r="G185" s="114">
        <f>SUM(G177:G184)</f>
        <v>64874650</v>
      </c>
      <c r="H185" s="114">
        <f t="shared" ref="H185:M185" si="39">SUM(H177:H184)</f>
        <v>0</v>
      </c>
      <c r="I185" s="114">
        <f t="shared" si="39"/>
        <v>0</v>
      </c>
      <c r="J185" s="114">
        <f>SUM(J177:J184)</f>
        <v>64874650</v>
      </c>
      <c r="K185" s="490"/>
      <c r="L185" s="468">
        <f>SUM(L177:L184)</f>
        <v>64874650</v>
      </c>
      <c r="M185" s="114">
        <f t="shared" si="39"/>
        <v>71362115.000000015</v>
      </c>
      <c r="N185" s="114">
        <f t="shared" si="38"/>
        <v>78498326.500000015</v>
      </c>
    </row>
    <row r="186" spans="1:14" s="20" customFormat="1">
      <c r="A186" s="253"/>
      <c r="B186" s="231"/>
      <c r="C186" s="32" t="s">
        <v>47</v>
      </c>
      <c r="D186" s="77">
        <v>22020105</v>
      </c>
      <c r="E186" s="135" t="s">
        <v>1713</v>
      </c>
      <c r="F186" s="136">
        <v>30640000</v>
      </c>
      <c r="G186" s="28">
        <v>30640000</v>
      </c>
      <c r="H186" s="28"/>
      <c r="I186" s="28"/>
      <c r="J186" s="28">
        <v>30640000</v>
      </c>
      <c r="K186" s="488">
        <f>J186*4.38%</f>
        <v>1342032</v>
      </c>
      <c r="L186" s="469">
        <v>29297968</v>
      </c>
      <c r="M186" s="28">
        <v>36640000</v>
      </c>
      <c r="N186" s="28">
        <v>36640000</v>
      </c>
    </row>
    <row r="187" spans="1:14" s="20" customFormat="1">
      <c r="A187" s="253"/>
      <c r="B187" s="231"/>
      <c r="C187" s="32" t="s">
        <v>47</v>
      </c>
      <c r="D187" s="77">
        <v>22020208</v>
      </c>
      <c r="E187" s="135" t="s">
        <v>799</v>
      </c>
      <c r="F187" s="136">
        <v>180000</v>
      </c>
      <c r="G187" s="28">
        <v>180000</v>
      </c>
      <c r="H187" s="28"/>
      <c r="I187" s="28"/>
      <c r="J187" s="28">
        <v>180000</v>
      </c>
      <c r="K187" s="488">
        <f t="shared" ref="K187:K206" si="40">J187*4.38%</f>
        <v>7884</v>
      </c>
      <c r="L187" s="469">
        <v>172116</v>
      </c>
      <c r="M187" s="28">
        <v>180000</v>
      </c>
      <c r="N187" s="28">
        <v>180000</v>
      </c>
    </row>
    <row r="188" spans="1:14" s="20" customFormat="1">
      <c r="A188" s="253"/>
      <c r="B188" s="231"/>
      <c r="C188" s="32" t="s">
        <v>47</v>
      </c>
      <c r="D188" s="77">
        <v>22020301</v>
      </c>
      <c r="E188" s="135" t="s">
        <v>737</v>
      </c>
      <c r="F188" s="136">
        <v>840000</v>
      </c>
      <c r="G188" s="28">
        <v>840000</v>
      </c>
      <c r="H188" s="28"/>
      <c r="I188" s="28"/>
      <c r="J188" s="28">
        <v>840000</v>
      </c>
      <c r="K188" s="488">
        <f t="shared" si="40"/>
        <v>36792</v>
      </c>
      <c r="L188" s="469">
        <v>803208</v>
      </c>
      <c r="M188" s="28">
        <v>840000</v>
      </c>
      <c r="N188" s="28">
        <v>840000</v>
      </c>
    </row>
    <row r="189" spans="1:14" s="20" customFormat="1">
      <c r="A189" s="253"/>
      <c r="B189" s="231"/>
      <c r="C189" s="32" t="s">
        <v>47</v>
      </c>
      <c r="D189" s="77">
        <v>22020305</v>
      </c>
      <c r="E189" s="135" t="s">
        <v>755</v>
      </c>
      <c r="F189" s="136">
        <v>300000</v>
      </c>
      <c r="G189" s="28">
        <v>300000</v>
      </c>
      <c r="H189" s="28"/>
      <c r="I189" s="28"/>
      <c r="J189" s="28">
        <v>300000</v>
      </c>
      <c r="K189" s="488">
        <f t="shared" si="40"/>
        <v>13140</v>
      </c>
      <c r="L189" s="469">
        <v>286860</v>
      </c>
      <c r="M189" s="28">
        <v>300000</v>
      </c>
      <c r="N189" s="28">
        <v>300000</v>
      </c>
    </row>
    <row r="190" spans="1:14" s="20" customFormat="1">
      <c r="A190" s="253"/>
      <c r="B190" s="231"/>
      <c r="C190" s="32" t="s">
        <v>47</v>
      </c>
      <c r="D190" s="77">
        <v>22020306</v>
      </c>
      <c r="E190" s="135" t="s">
        <v>765</v>
      </c>
      <c r="F190" s="136">
        <v>140000</v>
      </c>
      <c r="G190" s="28">
        <v>140000</v>
      </c>
      <c r="H190" s="28"/>
      <c r="I190" s="28"/>
      <c r="J190" s="28">
        <v>140000</v>
      </c>
      <c r="K190" s="488">
        <f t="shared" si="40"/>
        <v>6132</v>
      </c>
      <c r="L190" s="469">
        <v>133868</v>
      </c>
      <c r="M190" s="28">
        <v>140000</v>
      </c>
      <c r="N190" s="28">
        <v>140000</v>
      </c>
    </row>
    <row r="191" spans="1:14" s="20" customFormat="1">
      <c r="A191" s="253"/>
      <c r="B191" s="231"/>
      <c r="C191" s="32" t="s">
        <v>47</v>
      </c>
      <c r="D191" s="77">
        <v>22020312</v>
      </c>
      <c r="E191" s="135" t="s">
        <v>797</v>
      </c>
      <c r="F191" s="136">
        <v>50000</v>
      </c>
      <c r="G191" s="28">
        <v>50000</v>
      </c>
      <c r="H191" s="28"/>
      <c r="I191" s="28"/>
      <c r="J191" s="28">
        <v>50000</v>
      </c>
      <c r="K191" s="488">
        <f t="shared" si="40"/>
        <v>2190</v>
      </c>
      <c r="L191" s="469">
        <v>47810</v>
      </c>
      <c r="M191" s="28">
        <v>50000</v>
      </c>
      <c r="N191" s="28">
        <v>50000</v>
      </c>
    </row>
    <row r="192" spans="1:14" s="20" customFormat="1">
      <c r="A192" s="253"/>
      <c r="B192" s="231"/>
      <c r="C192" s="32" t="s">
        <v>47</v>
      </c>
      <c r="D192" s="77">
        <v>22020315</v>
      </c>
      <c r="E192" s="135" t="s">
        <v>740</v>
      </c>
      <c r="F192" s="136">
        <v>700000</v>
      </c>
      <c r="G192" s="28">
        <v>700000</v>
      </c>
      <c r="H192" s="28"/>
      <c r="I192" s="28"/>
      <c r="J192" s="28">
        <v>700000</v>
      </c>
      <c r="K192" s="488">
        <f t="shared" si="40"/>
        <v>30660</v>
      </c>
      <c r="L192" s="469">
        <v>669340</v>
      </c>
      <c r="M192" s="28">
        <v>700000</v>
      </c>
      <c r="N192" s="28">
        <v>700000</v>
      </c>
    </row>
    <row r="193" spans="1:14" s="20" customFormat="1">
      <c r="A193" s="253"/>
      <c r="B193" s="231"/>
      <c r="C193" s="32" t="s">
        <v>47</v>
      </c>
      <c r="D193" s="77">
        <v>22020401</v>
      </c>
      <c r="E193" s="135" t="s">
        <v>741</v>
      </c>
      <c r="F193" s="136">
        <v>1500000</v>
      </c>
      <c r="G193" s="28">
        <v>1500000</v>
      </c>
      <c r="H193" s="28"/>
      <c r="I193" s="28"/>
      <c r="J193" s="28">
        <v>1500000</v>
      </c>
      <c r="K193" s="488">
        <f t="shared" si="40"/>
        <v>65700</v>
      </c>
      <c r="L193" s="469">
        <v>1434300</v>
      </c>
      <c r="M193" s="28">
        <v>1500000</v>
      </c>
      <c r="N193" s="28">
        <v>1500000</v>
      </c>
    </row>
    <row r="194" spans="1:14" s="20" customFormat="1">
      <c r="A194" s="253"/>
      <c r="B194" s="231"/>
      <c r="C194" s="32" t="s">
        <v>47</v>
      </c>
      <c r="D194" s="77">
        <v>22020402</v>
      </c>
      <c r="E194" s="135" t="s">
        <v>757</v>
      </c>
      <c r="F194" s="136">
        <v>100000</v>
      </c>
      <c r="G194" s="28">
        <v>100000</v>
      </c>
      <c r="H194" s="28"/>
      <c r="I194" s="28"/>
      <c r="J194" s="28">
        <v>100000</v>
      </c>
      <c r="K194" s="488">
        <f t="shared" si="40"/>
        <v>4380</v>
      </c>
      <c r="L194" s="469">
        <v>95620</v>
      </c>
      <c r="M194" s="28">
        <v>100000</v>
      </c>
      <c r="N194" s="28">
        <v>100000</v>
      </c>
    </row>
    <row r="195" spans="1:14" s="20" customFormat="1">
      <c r="A195" s="253"/>
      <c r="B195" s="231"/>
      <c r="C195" s="32" t="s">
        <v>47</v>
      </c>
      <c r="D195" s="77">
        <v>22020404</v>
      </c>
      <c r="E195" s="135" t="s">
        <v>742</v>
      </c>
      <c r="F195" s="136">
        <v>250000</v>
      </c>
      <c r="G195" s="28">
        <v>250000</v>
      </c>
      <c r="H195" s="28"/>
      <c r="I195" s="28"/>
      <c r="J195" s="28">
        <v>250000</v>
      </c>
      <c r="K195" s="488">
        <f t="shared" si="40"/>
        <v>10950</v>
      </c>
      <c r="L195" s="469">
        <v>239050</v>
      </c>
      <c r="M195" s="28">
        <v>250000</v>
      </c>
      <c r="N195" s="28">
        <v>250000</v>
      </c>
    </row>
    <row r="196" spans="1:14" s="20" customFormat="1">
      <c r="A196" s="253"/>
      <c r="B196" s="231"/>
      <c r="C196" s="32" t="s">
        <v>47</v>
      </c>
      <c r="D196" s="77">
        <v>22020406</v>
      </c>
      <c r="E196" s="135" t="s">
        <v>758</v>
      </c>
      <c r="F196" s="136">
        <v>200000</v>
      </c>
      <c r="G196" s="28">
        <v>200000</v>
      </c>
      <c r="H196" s="28"/>
      <c r="I196" s="28"/>
      <c r="J196" s="28">
        <v>200000</v>
      </c>
      <c r="K196" s="488">
        <f t="shared" si="40"/>
        <v>8760</v>
      </c>
      <c r="L196" s="469">
        <v>191240</v>
      </c>
      <c r="M196" s="28">
        <v>200000</v>
      </c>
      <c r="N196" s="28">
        <v>200000</v>
      </c>
    </row>
    <row r="197" spans="1:14" s="20" customFormat="1">
      <c r="A197" s="253"/>
      <c r="B197" s="231"/>
      <c r="C197" s="32" t="s">
        <v>47</v>
      </c>
      <c r="D197" s="77">
        <v>22020416</v>
      </c>
      <c r="E197" s="135" t="s">
        <v>782</v>
      </c>
      <c r="F197" s="136">
        <v>50000</v>
      </c>
      <c r="G197" s="28">
        <v>50000</v>
      </c>
      <c r="H197" s="28"/>
      <c r="I197" s="28"/>
      <c r="J197" s="28">
        <v>50000</v>
      </c>
      <c r="K197" s="488">
        <f t="shared" si="40"/>
        <v>2190</v>
      </c>
      <c r="L197" s="469">
        <v>47810</v>
      </c>
      <c r="M197" s="28">
        <v>50000</v>
      </c>
      <c r="N197" s="28">
        <v>50000</v>
      </c>
    </row>
    <row r="198" spans="1:14" s="20" customFormat="1">
      <c r="A198" s="253"/>
      <c r="B198" s="231"/>
      <c r="C198" s="32" t="s">
        <v>47</v>
      </c>
      <c r="D198" s="77">
        <v>22020605</v>
      </c>
      <c r="E198" s="135" t="s">
        <v>768</v>
      </c>
      <c r="F198" s="136">
        <v>100000</v>
      </c>
      <c r="G198" s="28">
        <v>100000</v>
      </c>
      <c r="H198" s="28"/>
      <c r="I198" s="28"/>
      <c r="J198" s="28">
        <v>100000</v>
      </c>
      <c r="K198" s="488">
        <f t="shared" si="40"/>
        <v>4380</v>
      </c>
      <c r="L198" s="469">
        <v>95620</v>
      </c>
      <c r="M198" s="28">
        <v>100000</v>
      </c>
      <c r="N198" s="28">
        <v>100000</v>
      </c>
    </row>
    <row r="199" spans="1:14" s="20" customFormat="1">
      <c r="A199" s="255"/>
      <c r="B199" s="231"/>
      <c r="C199" s="32" t="s">
        <v>47</v>
      </c>
      <c r="D199" s="77">
        <v>22020801</v>
      </c>
      <c r="E199" s="135" t="s">
        <v>747</v>
      </c>
      <c r="F199" s="136">
        <v>2143500</v>
      </c>
      <c r="G199" s="28">
        <v>2143500</v>
      </c>
      <c r="H199" s="28"/>
      <c r="I199" s="28"/>
      <c r="J199" s="28">
        <v>2143500</v>
      </c>
      <c r="K199" s="488">
        <f t="shared" si="40"/>
        <v>93885.3</v>
      </c>
      <c r="L199" s="469">
        <v>2049614.7000000002</v>
      </c>
      <c r="M199" s="28">
        <v>2143500</v>
      </c>
      <c r="N199" s="28">
        <v>2143500</v>
      </c>
    </row>
    <row r="200" spans="1:14" s="20" customFormat="1">
      <c r="A200" s="253"/>
      <c r="B200" s="231"/>
      <c r="C200" s="32" t="s">
        <v>47</v>
      </c>
      <c r="D200" s="77">
        <v>22020803</v>
      </c>
      <c r="E200" s="135" t="s">
        <v>748</v>
      </c>
      <c r="F200" s="136">
        <v>300000</v>
      </c>
      <c r="G200" s="28">
        <v>300000</v>
      </c>
      <c r="H200" s="28"/>
      <c r="I200" s="28"/>
      <c r="J200" s="28">
        <v>300000</v>
      </c>
      <c r="K200" s="488">
        <f t="shared" si="40"/>
        <v>13140</v>
      </c>
      <c r="L200" s="469">
        <v>286860</v>
      </c>
      <c r="M200" s="28">
        <v>300000</v>
      </c>
      <c r="N200" s="28">
        <v>300000</v>
      </c>
    </row>
    <row r="201" spans="1:14" s="20" customFormat="1">
      <c r="A201" s="253"/>
      <c r="B201" s="231"/>
      <c r="C201" s="32" t="s">
        <v>47</v>
      </c>
      <c r="D201" s="77">
        <v>22020901</v>
      </c>
      <c r="E201" s="135" t="s">
        <v>749</v>
      </c>
      <c r="F201" s="136">
        <v>20000</v>
      </c>
      <c r="G201" s="28">
        <v>20000</v>
      </c>
      <c r="H201" s="28"/>
      <c r="I201" s="28"/>
      <c r="J201" s="28">
        <v>20000</v>
      </c>
      <c r="K201" s="488">
        <f t="shared" si="40"/>
        <v>876</v>
      </c>
      <c r="L201" s="469">
        <v>19124</v>
      </c>
      <c r="M201" s="28">
        <v>20000</v>
      </c>
      <c r="N201" s="28">
        <v>20000</v>
      </c>
    </row>
    <row r="202" spans="1:14" s="20" customFormat="1">
      <c r="A202" s="253"/>
      <c r="B202" s="231"/>
      <c r="C202" s="32" t="s">
        <v>47</v>
      </c>
      <c r="D202" s="77">
        <v>22021001</v>
      </c>
      <c r="E202" s="135" t="s">
        <v>772</v>
      </c>
      <c r="F202" s="136">
        <v>2000000</v>
      </c>
      <c r="G202" s="28">
        <v>2000000</v>
      </c>
      <c r="H202" s="28"/>
      <c r="I202" s="28"/>
      <c r="J202" s="28">
        <v>2000000</v>
      </c>
      <c r="K202" s="488">
        <f t="shared" si="40"/>
        <v>87600</v>
      </c>
      <c r="L202" s="469">
        <v>1912400</v>
      </c>
      <c r="M202" s="28">
        <v>2000000</v>
      </c>
      <c r="N202" s="28">
        <v>2000000</v>
      </c>
    </row>
    <row r="203" spans="1:14" s="20" customFormat="1">
      <c r="A203" s="253"/>
      <c r="B203" s="231"/>
      <c r="C203" s="32" t="s">
        <v>47</v>
      </c>
      <c r="D203" s="77">
        <v>22021003</v>
      </c>
      <c r="E203" s="135" t="s">
        <v>760</v>
      </c>
      <c r="F203" s="136">
        <v>750000</v>
      </c>
      <c r="G203" s="28">
        <v>750000</v>
      </c>
      <c r="H203" s="28"/>
      <c r="I203" s="28"/>
      <c r="J203" s="28">
        <v>750000</v>
      </c>
      <c r="K203" s="488">
        <f t="shared" si="40"/>
        <v>32850</v>
      </c>
      <c r="L203" s="469">
        <v>717150</v>
      </c>
      <c r="M203" s="28">
        <v>750000</v>
      </c>
      <c r="N203" s="28">
        <v>750000</v>
      </c>
    </row>
    <row r="204" spans="1:14" s="20" customFormat="1">
      <c r="A204" s="253"/>
      <c r="B204" s="231"/>
      <c r="C204" s="32" t="s">
        <v>47</v>
      </c>
      <c r="D204" s="77">
        <v>22021014</v>
      </c>
      <c r="E204" s="135" t="s">
        <v>800</v>
      </c>
      <c r="F204" s="136">
        <v>100000</v>
      </c>
      <c r="G204" s="28">
        <v>100000</v>
      </c>
      <c r="H204" s="28"/>
      <c r="I204" s="28"/>
      <c r="J204" s="28">
        <v>100000</v>
      </c>
      <c r="K204" s="488">
        <f t="shared" si="40"/>
        <v>4380</v>
      </c>
      <c r="L204" s="469">
        <v>95620</v>
      </c>
      <c r="M204" s="28">
        <v>100000</v>
      </c>
      <c r="N204" s="28">
        <v>100000</v>
      </c>
    </row>
    <row r="205" spans="1:14" s="20" customFormat="1">
      <c r="A205" s="253"/>
      <c r="B205" s="231"/>
      <c r="C205" s="32" t="s">
        <v>47</v>
      </c>
      <c r="D205" s="77">
        <v>22021032</v>
      </c>
      <c r="E205" s="135" t="s">
        <v>801</v>
      </c>
      <c r="F205" s="136">
        <v>200000</v>
      </c>
      <c r="G205" s="28">
        <v>200000</v>
      </c>
      <c r="H205" s="28"/>
      <c r="I205" s="28"/>
      <c r="J205" s="28">
        <v>200000</v>
      </c>
      <c r="K205" s="488">
        <f t="shared" si="40"/>
        <v>8760</v>
      </c>
      <c r="L205" s="469">
        <v>191240</v>
      </c>
      <c r="M205" s="28">
        <v>200000</v>
      </c>
      <c r="N205" s="28">
        <v>200000</v>
      </c>
    </row>
    <row r="206" spans="1:14" s="20" customFormat="1">
      <c r="A206" s="253"/>
      <c r="B206" s="231"/>
      <c r="C206" s="32" t="s">
        <v>47</v>
      </c>
      <c r="D206" s="77">
        <v>22040119</v>
      </c>
      <c r="E206" s="135" t="s">
        <v>802</v>
      </c>
      <c r="F206" s="136">
        <v>100000000</v>
      </c>
      <c r="G206" s="28">
        <v>100000000</v>
      </c>
      <c r="H206" s="28"/>
      <c r="I206" s="28"/>
      <c r="J206" s="28">
        <v>100000000</v>
      </c>
      <c r="K206" s="488">
        <f t="shared" si="40"/>
        <v>4380000</v>
      </c>
      <c r="L206" s="469">
        <v>95620000</v>
      </c>
      <c r="M206" s="28">
        <v>0</v>
      </c>
      <c r="N206" s="28">
        <v>0</v>
      </c>
    </row>
    <row r="207" spans="1:14" s="20" customFormat="1">
      <c r="A207" s="238"/>
      <c r="B207" s="231"/>
      <c r="C207" s="30" t="s">
        <v>1837</v>
      </c>
      <c r="D207" s="23"/>
      <c r="E207" s="25"/>
      <c r="F207" s="137">
        <f>SUM(F186:F206)</f>
        <v>140563500</v>
      </c>
      <c r="G207" s="114">
        <f>SUM(G186:G206)</f>
        <v>140563500</v>
      </c>
      <c r="H207" s="114">
        <f t="shared" ref="H207:I207" si="41">SUM(H186:H206)</f>
        <v>0</v>
      </c>
      <c r="I207" s="114">
        <f t="shared" si="41"/>
        <v>0</v>
      </c>
      <c r="J207" s="114">
        <f>SUM(J186:J206)</f>
        <v>140563500</v>
      </c>
      <c r="K207" s="490">
        <f>SUM(K186:K206)</f>
        <v>6156681.2999999998</v>
      </c>
      <c r="L207" s="468">
        <f>SUM(L186:L206)</f>
        <v>134406818.69999999</v>
      </c>
      <c r="M207" s="114">
        <f>SUM(M186:M206)</f>
        <v>46563500</v>
      </c>
      <c r="N207" s="114">
        <f>SUM(N186:N206)</f>
        <v>46563500</v>
      </c>
    </row>
    <row r="208" spans="1:14" s="20" customFormat="1" ht="30">
      <c r="A208" s="238" t="s">
        <v>753</v>
      </c>
      <c r="B208" s="231" t="s">
        <v>1845</v>
      </c>
      <c r="C208" s="30"/>
      <c r="D208" s="23"/>
      <c r="E208" s="25"/>
      <c r="F208" s="137">
        <f>F207+F185</f>
        <v>205438150</v>
      </c>
      <c r="G208" s="114">
        <f>G207+G185</f>
        <v>205438150</v>
      </c>
      <c r="H208" s="114">
        <f t="shared" ref="H208:I208" si="42">H207+H185</f>
        <v>0</v>
      </c>
      <c r="I208" s="114">
        <f t="shared" si="42"/>
        <v>0</v>
      </c>
      <c r="J208" s="114">
        <f>J207+J185</f>
        <v>205438150</v>
      </c>
      <c r="K208" s="490"/>
      <c r="L208" s="468">
        <f>L207+L185</f>
        <v>199281468.69999999</v>
      </c>
      <c r="M208" s="114">
        <f>M207+M185</f>
        <v>117925615.00000001</v>
      </c>
      <c r="N208" s="114">
        <f>N207+N185</f>
        <v>125061826.50000001</v>
      </c>
    </row>
    <row r="209" spans="1:14" s="20" customFormat="1" ht="21">
      <c r="A209" s="252"/>
      <c r="B209" s="443"/>
      <c r="C209" s="228"/>
      <c r="D209" s="229"/>
      <c r="E209" s="230"/>
      <c r="F209" s="215"/>
      <c r="G209" s="296"/>
      <c r="H209" s="296"/>
      <c r="I209" s="296"/>
      <c r="J209" s="28"/>
      <c r="K209" s="488"/>
      <c r="L209" s="468"/>
      <c r="M209" s="296"/>
      <c r="N209" s="296"/>
    </row>
    <row r="210" spans="1:14" s="20" customFormat="1" ht="30">
      <c r="A210" s="238" t="s">
        <v>1703</v>
      </c>
      <c r="B210" s="231" t="s">
        <v>803</v>
      </c>
      <c r="C210" s="32" t="s">
        <v>46</v>
      </c>
      <c r="D210" s="77">
        <v>21010101</v>
      </c>
      <c r="E210" s="135" t="s">
        <v>725</v>
      </c>
      <c r="F210" s="136"/>
      <c r="G210" s="28">
        <v>2680808.04</v>
      </c>
      <c r="H210" s="28"/>
      <c r="I210" s="28"/>
      <c r="J210" s="28">
        <v>2680808.04</v>
      </c>
      <c r="K210" s="488"/>
      <c r="L210" s="467">
        <v>2680808.04</v>
      </c>
      <c r="M210" s="28">
        <f t="shared" ref="M210:M217" si="43">G210*10%+G210</f>
        <v>2948888.844</v>
      </c>
      <c r="N210" s="28">
        <f>M210*10%+M210</f>
        <v>3243777.7283999999</v>
      </c>
    </row>
    <row r="211" spans="1:14" s="20" customFormat="1">
      <c r="A211" s="238"/>
      <c r="B211" s="231"/>
      <c r="C211" s="32" t="s">
        <v>46</v>
      </c>
      <c r="D211" s="77">
        <v>21020101</v>
      </c>
      <c r="E211" s="135" t="s">
        <v>726</v>
      </c>
      <c r="F211" s="136"/>
      <c r="G211" s="28">
        <v>670202.16</v>
      </c>
      <c r="H211" s="28"/>
      <c r="I211" s="28"/>
      <c r="J211" s="28">
        <v>670202.16</v>
      </c>
      <c r="K211" s="488"/>
      <c r="L211" s="467">
        <v>670202.16</v>
      </c>
      <c r="M211" s="28">
        <f t="shared" si="43"/>
        <v>737222.37600000005</v>
      </c>
      <c r="N211" s="28">
        <f t="shared" ref="N211:N219" si="44">M211*10%+M211</f>
        <v>810944.61360000004</v>
      </c>
    </row>
    <row r="212" spans="1:14" s="20" customFormat="1">
      <c r="A212" s="238"/>
      <c r="B212" s="231"/>
      <c r="C212" s="32" t="s">
        <v>46</v>
      </c>
      <c r="D212" s="77">
        <v>21020102</v>
      </c>
      <c r="E212" s="135" t="s">
        <v>727</v>
      </c>
      <c r="F212" s="136"/>
      <c r="G212" s="28">
        <v>268080.83999999997</v>
      </c>
      <c r="H212" s="28"/>
      <c r="I212" s="28"/>
      <c r="J212" s="28">
        <v>268080.83999999997</v>
      </c>
      <c r="K212" s="488"/>
      <c r="L212" s="467">
        <v>268080.83999999997</v>
      </c>
      <c r="M212" s="28">
        <f t="shared" si="43"/>
        <v>294888.92399999994</v>
      </c>
      <c r="N212" s="28">
        <f t="shared" si="44"/>
        <v>324377.81639999995</v>
      </c>
    </row>
    <row r="213" spans="1:14" s="20" customFormat="1">
      <c r="A213" s="238"/>
      <c r="B213" s="231"/>
      <c r="C213" s="32" t="s">
        <v>46</v>
      </c>
      <c r="D213" s="77">
        <v>21020103</v>
      </c>
      <c r="E213" s="135" t="s">
        <v>728</v>
      </c>
      <c r="F213" s="136"/>
      <c r="G213" s="28">
        <v>136440.24</v>
      </c>
      <c r="H213" s="28"/>
      <c r="I213" s="28"/>
      <c r="J213" s="28">
        <v>136440.24</v>
      </c>
      <c r="K213" s="488"/>
      <c r="L213" s="467">
        <v>136440.24</v>
      </c>
      <c r="M213" s="28">
        <f t="shared" si="43"/>
        <v>150084.264</v>
      </c>
      <c r="N213" s="28">
        <f t="shared" si="44"/>
        <v>165092.69039999999</v>
      </c>
    </row>
    <row r="214" spans="1:14" s="20" customFormat="1">
      <c r="A214" s="238"/>
      <c r="B214" s="231"/>
      <c r="C214" s="32" t="s">
        <v>46</v>
      </c>
      <c r="D214" s="77">
        <v>21020104</v>
      </c>
      <c r="E214" s="135" t="s">
        <v>729</v>
      </c>
      <c r="F214" s="136"/>
      <c r="G214" s="28">
        <v>136440.24</v>
      </c>
      <c r="H214" s="28"/>
      <c r="I214" s="28"/>
      <c r="J214" s="28">
        <v>136440.24</v>
      </c>
      <c r="K214" s="488"/>
      <c r="L214" s="467">
        <v>136440.24</v>
      </c>
      <c r="M214" s="28">
        <f t="shared" si="43"/>
        <v>150084.264</v>
      </c>
      <c r="N214" s="28">
        <f t="shared" si="44"/>
        <v>165092.69039999999</v>
      </c>
    </row>
    <row r="215" spans="1:14" s="20" customFormat="1">
      <c r="A215" s="238"/>
      <c r="B215" s="231"/>
      <c r="C215" s="32" t="s">
        <v>46</v>
      </c>
      <c r="D215" s="77">
        <v>21020105</v>
      </c>
      <c r="E215" s="135" t="s">
        <v>730</v>
      </c>
      <c r="F215" s="136"/>
      <c r="G215" s="28">
        <v>36357.479999999996</v>
      </c>
      <c r="H215" s="28"/>
      <c r="I215" s="28"/>
      <c r="J215" s="28">
        <v>36357.479999999996</v>
      </c>
      <c r="K215" s="488"/>
      <c r="L215" s="467">
        <v>36357.479999999996</v>
      </c>
      <c r="M215" s="28">
        <f t="shared" si="43"/>
        <v>39993.227999999996</v>
      </c>
      <c r="N215" s="28">
        <f t="shared" si="44"/>
        <v>43992.550799999997</v>
      </c>
    </row>
    <row r="216" spans="1:14" s="20" customFormat="1">
      <c r="A216" s="238"/>
      <c r="B216" s="231"/>
      <c r="C216" s="32" t="s">
        <v>46</v>
      </c>
      <c r="D216" s="77">
        <v>21020106</v>
      </c>
      <c r="E216" s="135" t="s">
        <v>731</v>
      </c>
      <c r="F216" s="136"/>
      <c r="G216" s="28">
        <v>268080.8</v>
      </c>
      <c r="H216" s="28"/>
      <c r="I216" s="28"/>
      <c r="J216" s="28">
        <v>268080.8</v>
      </c>
      <c r="K216" s="488"/>
      <c r="L216" s="467">
        <v>268080.8</v>
      </c>
      <c r="M216" s="28">
        <f t="shared" si="43"/>
        <v>294888.88</v>
      </c>
      <c r="N216" s="28">
        <f t="shared" si="44"/>
        <v>324377.76799999998</v>
      </c>
    </row>
    <row r="217" spans="1:14" s="20" customFormat="1">
      <c r="A217" s="238"/>
      <c r="B217" s="231"/>
      <c r="C217" s="32" t="s">
        <v>46</v>
      </c>
      <c r="D217" s="77">
        <v>21020107</v>
      </c>
      <c r="E217" s="135" t="s">
        <v>732</v>
      </c>
      <c r="F217" s="136"/>
      <c r="G217" s="28">
        <v>432000</v>
      </c>
      <c r="H217" s="28"/>
      <c r="I217" s="28"/>
      <c r="J217" s="28">
        <v>432000</v>
      </c>
      <c r="K217" s="488"/>
      <c r="L217" s="467">
        <v>432000</v>
      </c>
      <c r="M217" s="28">
        <f t="shared" si="43"/>
        <v>475200</v>
      </c>
      <c r="N217" s="28">
        <f t="shared" si="44"/>
        <v>522720</v>
      </c>
    </row>
    <row r="218" spans="1:14" s="20" customFormat="1">
      <c r="A218" s="238"/>
      <c r="B218" s="231"/>
      <c r="C218" s="32" t="s">
        <v>46</v>
      </c>
      <c r="D218" s="77">
        <v>21020127</v>
      </c>
      <c r="E218" s="135" t="s">
        <v>1714</v>
      </c>
      <c r="F218" s="136"/>
      <c r="G218" s="28">
        <v>12290321.68</v>
      </c>
      <c r="H218" s="28"/>
      <c r="I218" s="28"/>
      <c r="J218" s="28">
        <v>12290321.68</v>
      </c>
      <c r="K218" s="488"/>
      <c r="L218" s="467">
        <v>12290321.68</v>
      </c>
      <c r="M218" s="28">
        <v>0</v>
      </c>
      <c r="N218" s="28">
        <f t="shared" si="44"/>
        <v>0</v>
      </c>
    </row>
    <row r="219" spans="1:14" s="20" customFormat="1">
      <c r="A219" s="253"/>
      <c r="B219" s="231"/>
      <c r="C219" s="30" t="s">
        <v>1842</v>
      </c>
      <c r="D219" s="23"/>
      <c r="E219" s="25"/>
      <c r="F219" s="137">
        <f>SUM(F210:F210)</f>
        <v>0</v>
      </c>
      <c r="G219" s="114">
        <f>SUM(G210:G218)</f>
        <v>16918731.48</v>
      </c>
      <c r="H219" s="114">
        <f t="shared" ref="H219:I219" si="45">SUM(H210:H218)</f>
        <v>0</v>
      </c>
      <c r="I219" s="114">
        <f t="shared" si="45"/>
        <v>0</v>
      </c>
      <c r="J219" s="114">
        <f>SUM(J210:J218)</f>
        <v>16918731.48</v>
      </c>
      <c r="K219" s="490"/>
      <c r="L219" s="468">
        <f>SUM(L210:L218)</f>
        <v>16918731.48</v>
      </c>
      <c r="M219" s="114">
        <f>SUM(M210:M218)</f>
        <v>5091250.78</v>
      </c>
      <c r="N219" s="114">
        <f t="shared" si="44"/>
        <v>5600375.858</v>
      </c>
    </row>
    <row r="220" spans="1:14" s="20" customFormat="1">
      <c r="A220" s="253"/>
      <c r="B220" s="231"/>
      <c r="C220" s="32" t="s">
        <v>47</v>
      </c>
      <c r="D220" s="77">
        <v>22020105</v>
      </c>
      <c r="E220" s="135" t="s">
        <v>1713</v>
      </c>
      <c r="F220" s="136">
        <f>456000+787600</f>
        <v>1243600</v>
      </c>
      <c r="G220" s="28">
        <f>456000+787600+2635000</f>
        <v>3878600</v>
      </c>
      <c r="H220" s="28"/>
      <c r="I220" s="28"/>
      <c r="J220" s="28">
        <v>3878600</v>
      </c>
      <c r="K220" s="488">
        <f>J220*4.38%</f>
        <v>169882.68</v>
      </c>
      <c r="L220" s="469">
        <v>3708717.3200000003</v>
      </c>
      <c r="M220" s="28">
        <f t="shared" ref="M220:M234" si="46">G220*10%+G220</f>
        <v>4266460</v>
      </c>
      <c r="N220" s="28">
        <f>M220*10%+M220</f>
        <v>4693106</v>
      </c>
    </row>
    <row r="221" spans="1:14" s="20" customFormat="1">
      <c r="A221" s="253"/>
      <c r="B221" s="231"/>
      <c r="C221" s="32" t="s">
        <v>47</v>
      </c>
      <c r="D221" s="77">
        <v>22020301</v>
      </c>
      <c r="E221" s="135" t="s">
        <v>737</v>
      </c>
      <c r="F221" s="136">
        <v>843500</v>
      </c>
      <c r="G221" s="28">
        <v>843500</v>
      </c>
      <c r="H221" s="28"/>
      <c r="I221" s="28"/>
      <c r="J221" s="28">
        <v>843500</v>
      </c>
      <c r="K221" s="488">
        <f t="shared" ref="K221:K235" si="47">J221*4.38%</f>
        <v>36945.299999999996</v>
      </c>
      <c r="L221" s="469">
        <v>806554.70000000007</v>
      </c>
      <c r="M221" s="28">
        <f t="shared" si="46"/>
        <v>927850</v>
      </c>
      <c r="N221" s="28">
        <f t="shared" ref="N221:N234" si="48">M221*10%+M221</f>
        <v>1020635</v>
      </c>
    </row>
    <row r="222" spans="1:14" s="20" customFormat="1">
      <c r="A222" s="253"/>
      <c r="B222" s="231"/>
      <c r="C222" s="32" t="s">
        <v>47</v>
      </c>
      <c r="D222" s="77">
        <v>22020305</v>
      </c>
      <c r="E222" s="135" t="s">
        <v>755</v>
      </c>
      <c r="F222" s="136">
        <v>400000</v>
      </c>
      <c r="G222" s="28">
        <v>400000</v>
      </c>
      <c r="H222" s="28"/>
      <c r="I222" s="28"/>
      <c r="J222" s="28">
        <v>400000</v>
      </c>
      <c r="K222" s="488">
        <f t="shared" si="47"/>
        <v>17520</v>
      </c>
      <c r="L222" s="469">
        <v>382480</v>
      </c>
      <c r="M222" s="28">
        <f t="shared" si="46"/>
        <v>440000</v>
      </c>
      <c r="N222" s="28">
        <f t="shared" si="48"/>
        <v>484000</v>
      </c>
    </row>
    <row r="223" spans="1:14" s="20" customFormat="1">
      <c r="A223" s="253"/>
      <c r="B223" s="231"/>
      <c r="C223" s="32" t="s">
        <v>47</v>
      </c>
      <c r="D223" s="77">
        <v>22020306</v>
      </c>
      <c r="E223" s="135" t="s">
        <v>765</v>
      </c>
      <c r="F223" s="136">
        <v>400000</v>
      </c>
      <c r="G223" s="28">
        <v>400000</v>
      </c>
      <c r="H223" s="28"/>
      <c r="I223" s="28"/>
      <c r="J223" s="28">
        <v>400000</v>
      </c>
      <c r="K223" s="488">
        <f t="shared" si="47"/>
        <v>17520</v>
      </c>
      <c r="L223" s="469">
        <v>382480</v>
      </c>
      <c r="M223" s="28">
        <f t="shared" si="46"/>
        <v>440000</v>
      </c>
      <c r="N223" s="28">
        <f t="shared" si="48"/>
        <v>484000</v>
      </c>
    </row>
    <row r="224" spans="1:14" s="20" customFormat="1">
      <c r="A224" s="253"/>
      <c r="B224" s="231"/>
      <c r="C224" s="32" t="s">
        <v>47</v>
      </c>
      <c r="D224" s="77">
        <v>22020315</v>
      </c>
      <c r="E224" s="135" t="s">
        <v>740</v>
      </c>
      <c r="F224" s="136">
        <v>100000</v>
      </c>
      <c r="G224" s="28">
        <v>100000</v>
      </c>
      <c r="H224" s="28"/>
      <c r="I224" s="28"/>
      <c r="J224" s="28">
        <v>100000</v>
      </c>
      <c r="K224" s="488">
        <f t="shared" si="47"/>
        <v>4380</v>
      </c>
      <c r="L224" s="469">
        <v>95620</v>
      </c>
      <c r="M224" s="28">
        <f t="shared" si="46"/>
        <v>110000</v>
      </c>
      <c r="N224" s="28">
        <f t="shared" si="48"/>
        <v>121000</v>
      </c>
    </row>
    <row r="225" spans="1:14" s="20" customFormat="1">
      <c r="A225" s="253"/>
      <c r="B225" s="231"/>
      <c r="C225" s="32" t="s">
        <v>47</v>
      </c>
      <c r="D225" s="77">
        <v>22020401</v>
      </c>
      <c r="E225" s="135" t="s">
        <v>741</v>
      </c>
      <c r="F225" s="136">
        <v>480000</v>
      </c>
      <c r="G225" s="28">
        <v>480000</v>
      </c>
      <c r="H225" s="28"/>
      <c r="I225" s="28"/>
      <c r="J225" s="28">
        <v>480000</v>
      </c>
      <c r="K225" s="488">
        <f t="shared" si="47"/>
        <v>21024</v>
      </c>
      <c r="L225" s="469">
        <v>458976</v>
      </c>
      <c r="M225" s="28">
        <f t="shared" si="46"/>
        <v>528000</v>
      </c>
      <c r="N225" s="28">
        <f t="shared" si="48"/>
        <v>580800</v>
      </c>
    </row>
    <row r="226" spans="1:14" s="20" customFormat="1">
      <c r="A226" s="253"/>
      <c r="B226" s="231"/>
      <c r="C226" s="32" t="s">
        <v>47</v>
      </c>
      <c r="D226" s="77">
        <v>22020402</v>
      </c>
      <c r="E226" s="135" t="s">
        <v>757</v>
      </c>
      <c r="F226" s="136">
        <v>36000</v>
      </c>
      <c r="G226" s="28">
        <v>36000</v>
      </c>
      <c r="H226" s="28"/>
      <c r="I226" s="28"/>
      <c r="J226" s="28">
        <v>36000</v>
      </c>
      <c r="K226" s="488">
        <f t="shared" si="47"/>
        <v>1576.8</v>
      </c>
      <c r="L226" s="469">
        <v>34423.200000000004</v>
      </c>
      <c r="M226" s="28">
        <f t="shared" si="46"/>
        <v>39600</v>
      </c>
      <c r="N226" s="28">
        <f t="shared" si="48"/>
        <v>43560</v>
      </c>
    </row>
    <row r="227" spans="1:14" s="20" customFormat="1">
      <c r="A227" s="253"/>
      <c r="B227" s="231"/>
      <c r="C227" s="32" t="s">
        <v>47</v>
      </c>
      <c r="D227" s="77">
        <v>22020404</v>
      </c>
      <c r="E227" s="135" t="s">
        <v>742</v>
      </c>
      <c r="F227" s="136">
        <v>48000</v>
      </c>
      <c r="G227" s="28">
        <v>48000</v>
      </c>
      <c r="H227" s="28"/>
      <c r="I227" s="28"/>
      <c r="J227" s="28">
        <v>48000</v>
      </c>
      <c r="K227" s="488">
        <f t="shared" si="47"/>
        <v>2102.4</v>
      </c>
      <c r="L227" s="469">
        <v>45897.600000000006</v>
      </c>
      <c r="M227" s="28">
        <f t="shared" si="46"/>
        <v>52800</v>
      </c>
      <c r="N227" s="28">
        <f t="shared" si="48"/>
        <v>58080</v>
      </c>
    </row>
    <row r="228" spans="1:14" s="20" customFormat="1">
      <c r="A228" s="253"/>
      <c r="B228" s="231"/>
      <c r="C228" s="32" t="s">
        <v>47</v>
      </c>
      <c r="D228" s="77">
        <v>22020709</v>
      </c>
      <c r="E228" s="135" t="s">
        <v>771</v>
      </c>
      <c r="F228" s="136">
        <v>300000</v>
      </c>
      <c r="G228" s="28">
        <v>300000</v>
      </c>
      <c r="H228" s="28"/>
      <c r="I228" s="28"/>
      <c r="J228" s="28">
        <v>300000</v>
      </c>
      <c r="K228" s="488">
        <f t="shared" si="47"/>
        <v>13140</v>
      </c>
      <c r="L228" s="469">
        <v>286860</v>
      </c>
      <c r="M228" s="28">
        <f t="shared" si="46"/>
        <v>330000</v>
      </c>
      <c r="N228" s="28">
        <f t="shared" si="48"/>
        <v>363000</v>
      </c>
    </row>
    <row r="229" spans="1:14" s="20" customFormat="1">
      <c r="A229" s="253"/>
      <c r="B229" s="231"/>
      <c r="C229" s="32" t="s">
        <v>47</v>
      </c>
      <c r="D229" s="77">
        <v>22020712</v>
      </c>
      <c r="E229" s="135" t="s">
        <v>804</v>
      </c>
      <c r="F229" s="136">
        <v>4080000</v>
      </c>
      <c r="G229" s="28">
        <v>4080000</v>
      </c>
      <c r="H229" s="28"/>
      <c r="I229" s="28"/>
      <c r="J229" s="28">
        <v>4080000</v>
      </c>
      <c r="K229" s="488">
        <f t="shared" si="47"/>
        <v>178704</v>
      </c>
      <c r="L229" s="469">
        <v>3901296</v>
      </c>
      <c r="M229" s="28">
        <f t="shared" si="46"/>
        <v>4488000</v>
      </c>
      <c r="N229" s="28">
        <f t="shared" si="48"/>
        <v>4936800</v>
      </c>
    </row>
    <row r="230" spans="1:14" s="20" customFormat="1">
      <c r="A230" s="255"/>
      <c r="B230" s="231"/>
      <c r="C230" s="32" t="s">
        <v>47</v>
      </c>
      <c r="D230" s="77">
        <v>22020801</v>
      </c>
      <c r="E230" s="135" t="s">
        <v>747</v>
      </c>
      <c r="F230" s="136">
        <v>1500000</v>
      </c>
      <c r="G230" s="28">
        <v>1500000</v>
      </c>
      <c r="H230" s="28"/>
      <c r="I230" s="28"/>
      <c r="J230" s="28">
        <v>1500000</v>
      </c>
      <c r="K230" s="488">
        <f t="shared" si="47"/>
        <v>65700</v>
      </c>
      <c r="L230" s="469">
        <v>1434300</v>
      </c>
      <c r="M230" s="28">
        <f t="shared" si="46"/>
        <v>1650000</v>
      </c>
      <c r="N230" s="28">
        <f t="shared" si="48"/>
        <v>1815000</v>
      </c>
    </row>
    <row r="231" spans="1:14" s="20" customFormat="1">
      <c r="A231" s="253"/>
      <c r="B231" s="231"/>
      <c r="C231" s="32" t="s">
        <v>47</v>
      </c>
      <c r="D231" s="77">
        <v>22020803</v>
      </c>
      <c r="E231" s="135" t="s">
        <v>748</v>
      </c>
      <c r="F231" s="136">
        <v>500000</v>
      </c>
      <c r="G231" s="28">
        <v>500000</v>
      </c>
      <c r="H231" s="28"/>
      <c r="I231" s="28"/>
      <c r="J231" s="28">
        <v>500000</v>
      </c>
      <c r="K231" s="488">
        <f t="shared" si="47"/>
        <v>21900</v>
      </c>
      <c r="L231" s="469">
        <v>478100</v>
      </c>
      <c r="M231" s="28">
        <f t="shared" si="46"/>
        <v>550000</v>
      </c>
      <c r="N231" s="28">
        <f t="shared" si="48"/>
        <v>605000</v>
      </c>
    </row>
    <row r="232" spans="1:14" s="20" customFormat="1">
      <c r="A232" s="253"/>
      <c r="B232" s="231"/>
      <c r="C232" s="32" t="s">
        <v>47</v>
      </c>
      <c r="D232" s="77">
        <v>22020901</v>
      </c>
      <c r="E232" s="135" t="s">
        <v>749</v>
      </c>
      <c r="F232" s="136">
        <v>30000</v>
      </c>
      <c r="G232" s="28">
        <v>30000</v>
      </c>
      <c r="H232" s="28"/>
      <c r="I232" s="28"/>
      <c r="J232" s="28">
        <v>30000</v>
      </c>
      <c r="K232" s="488">
        <f t="shared" si="47"/>
        <v>1314</v>
      </c>
      <c r="L232" s="469">
        <v>28686</v>
      </c>
      <c r="M232" s="28">
        <f t="shared" si="46"/>
        <v>33000</v>
      </c>
      <c r="N232" s="28">
        <f t="shared" si="48"/>
        <v>36300</v>
      </c>
    </row>
    <row r="233" spans="1:14" s="20" customFormat="1">
      <c r="A233" s="253"/>
      <c r="B233" s="231"/>
      <c r="C233" s="32" t="s">
        <v>47</v>
      </c>
      <c r="D233" s="77">
        <v>22021001</v>
      </c>
      <c r="E233" s="135" t="s">
        <v>772</v>
      </c>
      <c r="F233" s="136">
        <v>312800</v>
      </c>
      <c r="G233" s="28">
        <v>312800</v>
      </c>
      <c r="H233" s="28"/>
      <c r="I233" s="28"/>
      <c r="J233" s="28">
        <v>312800</v>
      </c>
      <c r="K233" s="488">
        <f t="shared" si="47"/>
        <v>13700.64</v>
      </c>
      <c r="L233" s="469">
        <v>299099.36000000004</v>
      </c>
      <c r="M233" s="28">
        <f t="shared" si="46"/>
        <v>344080</v>
      </c>
      <c r="N233" s="28">
        <f t="shared" si="48"/>
        <v>378488</v>
      </c>
    </row>
    <row r="234" spans="1:14" s="20" customFormat="1">
      <c r="A234" s="253"/>
      <c r="B234" s="231"/>
      <c r="C234" s="32" t="s">
        <v>47</v>
      </c>
      <c r="D234" s="77">
        <v>22021003</v>
      </c>
      <c r="E234" s="135" t="s">
        <v>760</v>
      </c>
      <c r="F234" s="136">
        <v>5646000</v>
      </c>
      <c r="G234" s="28">
        <v>5646000</v>
      </c>
      <c r="H234" s="28"/>
      <c r="I234" s="28"/>
      <c r="J234" s="28">
        <v>5646000</v>
      </c>
      <c r="K234" s="488">
        <f t="shared" si="47"/>
        <v>247294.8</v>
      </c>
      <c r="L234" s="469">
        <v>5398705.2000000002</v>
      </c>
      <c r="M234" s="28">
        <f t="shared" si="46"/>
        <v>6210600</v>
      </c>
      <c r="N234" s="28">
        <f t="shared" si="48"/>
        <v>6831660</v>
      </c>
    </row>
    <row r="235" spans="1:14" s="66" customFormat="1">
      <c r="A235" s="238"/>
      <c r="B235" s="231"/>
      <c r="C235" s="30" t="s">
        <v>1837</v>
      </c>
      <c r="D235" s="23"/>
      <c r="E235" s="25"/>
      <c r="F235" s="137">
        <f>SUM(F220:F234)</f>
        <v>15919900</v>
      </c>
      <c r="G235" s="114">
        <f>SUM(G220:G234)</f>
        <v>18554900</v>
      </c>
      <c r="H235" s="114">
        <f t="shared" ref="H235:I235" si="49">SUM(H220:H234)</f>
        <v>0</v>
      </c>
      <c r="I235" s="114">
        <f t="shared" si="49"/>
        <v>0</v>
      </c>
      <c r="J235" s="114">
        <f>SUM(J220:J234)</f>
        <v>18554900</v>
      </c>
      <c r="K235" s="490">
        <f t="shared" si="47"/>
        <v>812704.62</v>
      </c>
      <c r="L235" s="468">
        <f>SUM(L220:L234)</f>
        <v>17742195.379999999</v>
      </c>
      <c r="M235" s="114">
        <f>SUM(M220:M234)</f>
        <v>20410390</v>
      </c>
      <c r="N235" s="114">
        <f>SUM(N220:N234)</f>
        <v>22451429</v>
      </c>
    </row>
    <row r="236" spans="1:14" s="20" customFormat="1" ht="30">
      <c r="A236" s="238" t="s">
        <v>1703</v>
      </c>
      <c r="B236" s="231" t="s">
        <v>1846</v>
      </c>
      <c r="C236" s="30"/>
      <c r="D236" s="23"/>
      <c r="E236" s="25"/>
      <c r="F236" s="137">
        <f>F235+F219</f>
        <v>15919900</v>
      </c>
      <c r="G236" s="114">
        <f>G235+G219</f>
        <v>35473631.480000004</v>
      </c>
      <c r="H236" s="114">
        <f t="shared" ref="H236:I236" si="50">H235+H219</f>
        <v>0</v>
      </c>
      <c r="I236" s="114">
        <f t="shared" si="50"/>
        <v>0</v>
      </c>
      <c r="J236" s="114">
        <f>J235+J219</f>
        <v>35473631.480000004</v>
      </c>
      <c r="K236" s="490"/>
      <c r="L236" s="468">
        <f>L235+L219</f>
        <v>34660926.859999999</v>
      </c>
      <c r="M236" s="114">
        <f>M235+M219</f>
        <v>25501640.780000001</v>
      </c>
      <c r="N236" s="114">
        <f>N235+N219</f>
        <v>28051804.857999999</v>
      </c>
    </row>
    <row r="237" spans="1:14" s="20" customFormat="1" ht="21">
      <c r="A237" s="252"/>
      <c r="B237" s="443"/>
      <c r="C237" s="228"/>
      <c r="D237" s="229"/>
      <c r="E237" s="230"/>
      <c r="F237" s="215"/>
      <c r="G237" s="296"/>
      <c r="H237" s="296"/>
      <c r="I237" s="296"/>
      <c r="J237" s="28"/>
      <c r="K237" s="488"/>
      <c r="L237" s="468"/>
      <c r="M237" s="296"/>
      <c r="N237" s="296"/>
    </row>
    <row r="238" spans="1:14" s="20" customFormat="1" ht="30">
      <c r="A238" s="238" t="s">
        <v>806</v>
      </c>
      <c r="B238" s="231" t="s">
        <v>1708</v>
      </c>
      <c r="C238" s="32" t="s">
        <v>46</v>
      </c>
      <c r="D238" s="77">
        <v>21010101</v>
      </c>
      <c r="E238" s="135" t="s">
        <v>725</v>
      </c>
      <c r="F238" s="136">
        <v>163823354.63999999</v>
      </c>
      <c r="G238" s="28">
        <v>163823354.63999999</v>
      </c>
      <c r="H238" s="28"/>
      <c r="I238" s="28"/>
      <c r="J238" s="28">
        <v>163823354.63999999</v>
      </c>
      <c r="K238" s="488"/>
      <c r="L238" s="467">
        <v>163823354.63999999</v>
      </c>
      <c r="M238" s="28">
        <f t="shared" ref="M238:M250" si="51">G238*10%+G238</f>
        <v>180205690.10399997</v>
      </c>
      <c r="N238" s="28">
        <f>M238*10%+M238</f>
        <v>198226259.11439997</v>
      </c>
    </row>
    <row r="239" spans="1:14" s="20" customFormat="1">
      <c r="A239" s="253"/>
      <c r="B239" s="231"/>
      <c r="C239" s="32" t="s">
        <v>46</v>
      </c>
      <c r="D239" s="77">
        <v>21020101</v>
      </c>
      <c r="E239" s="135" t="s">
        <v>726</v>
      </c>
      <c r="F239" s="136">
        <v>11493648.439999999</v>
      </c>
      <c r="G239" s="28">
        <v>11493648.439999999</v>
      </c>
      <c r="H239" s="28"/>
      <c r="I239" s="28"/>
      <c r="J239" s="28">
        <v>11493648.439999999</v>
      </c>
      <c r="K239" s="488"/>
      <c r="L239" s="467">
        <v>11493648.439999999</v>
      </c>
      <c r="M239" s="28">
        <f t="shared" si="51"/>
        <v>12643013.284</v>
      </c>
      <c r="N239" s="28">
        <f t="shared" ref="N239:N250" si="52">M239*10%+M239</f>
        <v>13907314.612399999</v>
      </c>
    </row>
    <row r="240" spans="1:14" s="20" customFormat="1">
      <c r="A240" s="253"/>
      <c r="B240" s="231"/>
      <c r="C240" s="32" t="s">
        <v>46</v>
      </c>
      <c r="D240" s="77">
        <v>21020102</v>
      </c>
      <c r="E240" s="135" t="s">
        <v>727</v>
      </c>
      <c r="F240" s="136">
        <v>4554338.92</v>
      </c>
      <c r="G240" s="28">
        <v>4554338.92</v>
      </c>
      <c r="H240" s="28"/>
      <c r="I240" s="28"/>
      <c r="J240" s="28">
        <v>4554338.92</v>
      </c>
      <c r="K240" s="488"/>
      <c r="L240" s="467">
        <v>4554338.92</v>
      </c>
      <c r="M240" s="28">
        <f t="shared" si="51"/>
        <v>5009772.8119999999</v>
      </c>
      <c r="N240" s="28">
        <f t="shared" si="52"/>
        <v>5510750.0932</v>
      </c>
    </row>
    <row r="241" spans="1:14" s="20" customFormat="1">
      <c r="A241" s="253"/>
      <c r="B241" s="231"/>
      <c r="C241" s="32" t="s">
        <v>46</v>
      </c>
      <c r="D241" s="77">
        <v>21020103</v>
      </c>
      <c r="E241" s="135" t="s">
        <v>728</v>
      </c>
      <c r="F241" s="136">
        <v>2277568.48</v>
      </c>
      <c r="G241" s="28">
        <v>2277568.48</v>
      </c>
      <c r="H241" s="28"/>
      <c r="I241" s="28"/>
      <c r="J241" s="28">
        <v>2277568.48</v>
      </c>
      <c r="K241" s="488"/>
      <c r="L241" s="467">
        <v>2277568.48</v>
      </c>
      <c r="M241" s="28">
        <f t="shared" si="51"/>
        <v>2505325.3279999997</v>
      </c>
      <c r="N241" s="28">
        <f t="shared" si="52"/>
        <v>2755857.8607999999</v>
      </c>
    </row>
    <row r="242" spans="1:14" s="20" customFormat="1">
      <c r="A242" s="253"/>
      <c r="B242" s="231"/>
      <c r="C242" s="32" t="s">
        <v>46</v>
      </c>
      <c r="D242" s="77">
        <v>21020104</v>
      </c>
      <c r="E242" s="135" t="s">
        <v>807</v>
      </c>
      <c r="F242" s="136">
        <v>36877263.780000001</v>
      </c>
      <c r="G242" s="28">
        <v>36877263.780000001</v>
      </c>
      <c r="H242" s="28"/>
      <c r="I242" s="28"/>
      <c r="J242" s="28">
        <v>36877263.780000001</v>
      </c>
      <c r="K242" s="488"/>
      <c r="L242" s="467">
        <v>36877263.780000001</v>
      </c>
      <c r="M242" s="28">
        <f t="shared" si="51"/>
        <v>40564990.158</v>
      </c>
      <c r="N242" s="28">
        <f t="shared" si="52"/>
        <v>44621489.173799999</v>
      </c>
    </row>
    <row r="243" spans="1:14" s="20" customFormat="1">
      <c r="A243" s="253"/>
      <c r="B243" s="231"/>
      <c r="C243" s="32" t="s">
        <v>46</v>
      </c>
      <c r="D243" s="77">
        <v>21020105</v>
      </c>
      <c r="E243" s="135" t="s">
        <v>730</v>
      </c>
      <c r="F243" s="136">
        <v>16382336.050000001</v>
      </c>
      <c r="G243" s="28">
        <v>16382336.050000001</v>
      </c>
      <c r="H243" s="28"/>
      <c r="I243" s="28"/>
      <c r="J243" s="28">
        <v>16382336.050000001</v>
      </c>
      <c r="K243" s="488"/>
      <c r="L243" s="467">
        <v>16382336.050000001</v>
      </c>
      <c r="M243" s="28">
        <f t="shared" si="51"/>
        <v>18020569.655000001</v>
      </c>
      <c r="N243" s="28">
        <f t="shared" si="52"/>
        <v>19822626.620500002</v>
      </c>
    </row>
    <row r="244" spans="1:14" s="20" customFormat="1">
      <c r="A244" s="253"/>
      <c r="B244" s="231"/>
      <c r="C244" s="32" t="s">
        <v>46</v>
      </c>
      <c r="D244" s="77">
        <v>21020106</v>
      </c>
      <c r="E244" s="135" t="s">
        <v>731</v>
      </c>
      <c r="F244" s="136">
        <v>16116271.57</v>
      </c>
      <c r="G244" s="28">
        <v>16116271.57</v>
      </c>
      <c r="H244" s="28"/>
      <c r="I244" s="28"/>
      <c r="J244" s="28">
        <v>16116271.57</v>
      </c>
      <c r="K244" s="488"/>
      <c r="L244" s="467">
        <v>16116271.57</v>
      </c>
      <c r="M244" s="28">
        <f t="shared" si="51"/>
        <v>17727898.727000002</v>
      </c>
      <c r="N244" s="28">
        <f t="shared" si="52"/>
        <v>19500688.599700004</v>
      </c>
    </row>
    <row r="245" spans="1:14" s="20" customFormat="1">
      <c r="A245" s="253"/>
      <c r="B245" s="231"/>
      <c r="C245" s="32" t="s">
        <v>46</v>
      </c>
      <c r="D245" s="77">
        <v>21020107</v>
      </c>
      <c r="E245" s="135" t="s">
        <v>732</v>
      </c>
      <c r="F245" s="136">
        <v>32089336.050000001</v>
      </c>
      <c r="G245" s="28">
        <v>32089336.050000001</v>
      </c>
      <c r="H245" s="28"/>
      <c r="I245" s="28"/>
      <c r="J245" s="28">
        <v>32089336.050000001</v>
      </c>
      <c r="K245" s="488"/>
      <c r="L245" s="467">
        <v>32089336.050000001</v>
      </c>
      <c r="M245" s="28">
        <f t="shared" si="51"/>
        <v>35298269.655000001</v>
      </c>
      <c r="N245" s="28">
        <f t="shared" si="52"/>
        <v>38828096.620499998</v>
      </c>
    </row>
    <row r="246" spans="1:14" s="20" customFormat="1">
      <c r="A246" s="253"/>
      <c r="B246" s="231"/>
      <c r="C246" s="32" t="s">
        <v>46</v>
      </c>
      <c r="D246" s="77">
        <v>21020111</v>
      </c>
      <c r="E246" s="135" t="s">
        <v>808</v>
      </c>
      <c r="F246" s="136">
        <v>29125349.25</v>
      </c>
      <c r="G246" s="28">
        <v>29125349.25</v>
      </c>
      <c r="H246" s="28"/>
      <c r="I246" s="28"/>
      <c r="J246" s="28">
        <v>29125349.25</v>
      </c>
      <c r="K246" s="488"/>
      <c r="L246" s="467">
        <v>29125349.25</v>
      </c>
      <c r="M246" s="28">
        <f t="shared" si="51"/>
        <v>32037884.175000001</v>
      </c>
      <c r="N246" s="28">
        <f t="shared" si="52"/>
        <v>35241672.592500001</v>
      </c>
    </row>
    <row r="247" spans="1:14" s="20" customFormat="1">
      <c r="A247" s="253"/>
      <c r="B247" s="231"/>
      <c r="C247" s="32" t="s">
        <v>46</v>
      </c>
      <c r="D247" s="77">
        <v>21020112</v>
      </c>
      <c r="E247" s="135" t="s">
        <v>809</v>
      </c>
      <c r="F247" s="136">
        <v>9708449.75</v>
      </c>
      <c r="G247" s="28">
        <v>9708449.75</v>
      </c>
      <c r="H247" s="28"/>
      <c r="I247" s="28"/>
      <c r="J247" s="28">
        <v>9708449.75</v>
      </c>
      <c r="K247" s="488"/>
      <c r="L247" s="467">
        <v>9708449.75</v>
      </c>
      <c r="M247" s="28">
        <f t="shared" si="51"/>
        <v>10679294.725</v>
      </c>
      <c r="N247" s="28">
        <f t="shared" si="52"/>
        <v>11747224.1975</v>
      </c>
    </row>
    <row r="248" spans="1:14" s="20" customFormat="1">
      <c r="A248" s="253"/>
      <c r="B248" s="231"/>
      <c r="C248" s="32" t="s">
        <v>46</v>
      </c>
      <c r="D248" s="77">
        <v>21020126</v>
      </c>
      <c r="E248" s="135" t="s">
        <v>810</v>
      </c>
      <c r="F248" s="136">
        <v>17549826.850000001</v>
      </c>
      <c r="G248" s="28">
        <v>17549826.850000001</v>
      </c>
      <c r="H248" s="28"/>
      <c r="I248" s="28"/>
      <c r="J248" s="28">
        <v>17549826.850000001</v>
      </c>
      <c r="K248" s="488"/>
      <c r="L248" s="467">
        <v>17549826.850000001</v>
      </c>
      <c r="M248" s="28">
        <f t="shared" si="51"/>
        <v>19304809.535</v>
      </c>
      <c r="N248" s="28">
        <f t="shared" si="52"/>
        <v>21235290.488499999</v>
      </c>
    </row>
    <row r="249" spans="1:14" s="20" customFormat="1">
      <c r="A249" s="253"/>
      <c r="B249" s="231"/>
      <c r="C249" s="32" t="s">
        <v>46</v>
      </c>
      <c r="D249" s="77">
        <v>21020127</v>
      </c>
      <c r="E249" s="135" t="s">
        <v>735</v>
      </c>
      <c r="F249" s="136">
        <v>50000000</v>
      </c>
      <c r="G249" s="28">
        <v>50000000</v>
      </c>
      <c r="H249" s="28"/>
      <c r="I249" s="28"/>
      <c r="J249" s="28">
        <v>50000000</v>
      </c>
      <c r="K249" s="488"/>
      <c r="L249" s="467">
        <v>50000000</v>
      </c>
      <c r="M249" s="28">
        <f t="shared" si="51"/>
        <v>55000000</v>
      </c>
      <c r="N249" s="28">
        <f t="shared" si="52"/>
        <v>60500000</v>
      </c>
    </row>
    <row r="250" spans="1:14" s="20" customFormat="1">
      <c r="A250" s="253"/>
      <c r="B250" s="231"/>
      <c r="C250" s="32" t="s">
        <v>46</v>
      </c>
      <c r="D250" s="77">
        <v>21020109</v>
      </c>
      <c r="E250" s="135" t="s">
        <v>811</v>
      </c>
      <c r="F250" s="136">
        <v>100000000</v>
      </c>
      <c r="G250" s="28">
        <v>100000000</v>
      </c>
      <c r="H250" s="28"/>
      <c r="I250" s="28"/>
      <c r="J250" s="28">
        <v>100000000</v>
      </c>
      <c r="K250" s="488"/>
      <c r="L250" s="467">
        <v>100000000</v>
      </c>
      <c r="M250" s="28">
        <f t="shared" si="51"/>
        <v>110000000</v>
      </c>
      <c r="N250" s="28">
        <f t="shared" si="52"/>
        <v>121000000</v>
      </c>
    </row>
    <row r="251" spans="1:14" s="20" customFormat="1">
      <c r="A251" s="253"/>
      <c r="B251" s="231"/>
      <c r="C251" s="30" t="s">
        <v>1836</v>
      </c>
      <c r="D251" s="23"/>
      <c r="E251" s="25"/>
      <c r="F251" s="137">
        <f>SUM(F238:F250)</f>
        <v>489997743.77999997</v>
      </c>
      <c r="G251" s="114">
        <f>SUM(G238:G250)</f>
        <v>489997743.77999997</v>
      </c>
      <c r="H251" s="114">
        <f t="shared" ref="H251:I251" si="53">SUM(H238:H250)</f>
        <v>0</v>
      </c>
      <c r="I251" s="114">
        <f t="shared" si="53"/>
        <v>0</v>
      </c>
      <c r="J251" s="114">
        <f>SUM(J238:J250)</f>
        <v>489997743.77999997</v>
      </c>
      <c r="K251" s="490"/>
      <c r="L251" s="468">
        <f>SUM(L238:L250)</f>
        <v>489997743.77999997</v>
      </c>
      <c r="M251" s="114">
        <f>SUM(M238:M250)</f>
        <v>538997518.15800011</v>
      </c>
      <c r="N251" s="114">
        <f>SUM(N238:N250)</f>
        <v>592897269.97379994</v>
      </c>
    </row>
    <row r="252" spans="1:14" s="20" customFormat="1">
      <c r="A252" s="253"/>
      <c r="B252" s="231"/>
      <c r="C252" s="32" t="s">
        <v>47</v>
      </c>
      <c r="D252" s="77">
        <v>22020105</v>
      </c>
      <c r="E252" s="135" t="s">
        <v>1713</v>
      </c>
      <c r="F252" s="136">
        <v>10000000</v>
      </c>
      <c r="G252" s="28">
        <v>5000000</v>
      </c>
      <c r="H252" s="28"/>
      <c r="I252" s="28"/>
      <c r="J252" s="28">
        <v>5000000</v>
      </c>
      <c r="K252" s="488">
        <f>J252*4.38%</f>
        <v>219000</v>
      </c>
      <c r="L252" s="469">
        <v>4781000</v>
      </c>
      <c r="M252" s="28">
        <v>10000000</v>
      </c>
      <c r="N252" s="28">
        <v>10000000</v>
      </c>
    </row>
    <row r="253" spans="1:14" s="20" customFormat="1">
      <c r="A253" s="253"/>
      <c r="B253" s="231"/>
      <c r="C253" s="32" t="s">
        <v>47</v>
      </c>
      <c r="D253" s="77">
        <v>22020108</v>
      </c>
      <c r="E253" s="135" t="s">
        <v>812</v>
      </c>
      <c r="F253" s="136">
        <v>5000000</v>
      </c>
      <c r="G253" s="28">
        <v>5000000</v>
      </c>
      <c r="H253" s="28"/>
      <c r="I253" s="28"/>
      <c r="J253" s="28">
        <v>5000000</v>
      </c>
      <c r="K253" s="488">
        <f t="shared" ref="K253:K275" si="54">J253*4.38%</f>
        <v>219000</v>
      </c>
      <c r="L253" s="469">
        <v>4781000</v>
      </c>
      <c r="M253" s="28">
        <v>5000000</v>
      </c>
      <c r="N253" s="28">
        <v>5000000</v>
      </c>
    </row>
    <row r="254" spans="1:14" s="20" customFormat="1">
      <c r="A254" s="253"/>
      <c r="B254" s="231"/>
      <c r="C254" s="32" t="s">
        <v>47</v>
      </c>
      <c r="D254" s="77">
        <v>22020203</v>
      </c>
      <c r="E254" s="135" t="s">
        <v>779</v>
      </c>
      <c r="F254" s="136">
        <v>7020000</v>
      </c>
      <c r="G254" s="28">
        <v>2000000</v>
      </c>
      <c r="H254" s="28"/>
      <c r="I254" s="28"/>
      <c r="J254" s="28">
        <v>2000000</v>
      </c>
      <c r="K254" s="488">
        <f t="shared" si="54"/>
        <v>87600</v>
      </c>
      <c r="L254" s="469">
        <v>1912400</v>
      </c>
      <c r="M254" s="28">
        <v>7020000</v>
      </c>
      <c r="N254" s="28">
        <v>7020000</v>
      </c>
    </row>
    <row r="255" spans="1:14" s="20" customFormat="1">
      <c r="A255" s="253"/>
      <c r="B255" s="231"/>
      <c r="C255" s="32" t="s">
        <v>47</v>
      </c>
      <c r="D255" s="77">
        <v>22020208</v>
      </c>
      <c r="E255" s="135" t="s">
        <v>799</v>
      </c>
      <c r="F255" s="136">
        <v>23500000</v>
      </c>
      <c r="G255" s="28">
        <v>1000000</v>
      </c>
      <c r="H255" s="28"/>
      <c r="I255" s="28"/>
      <c r="J255" s="28">
        <v>1000000</v>
      </c>
      <c r="K255" s="488">
        <f t="shared" si="54"/>
        <v>43800</v>
      </c>
      <c r="L255" s="469">
        <v>956200</v>
      </c>
      <c r="M255" s="28">
        <v>23500000</v>
      </c>
      <c r="N255" s="28">
        <v>23500000</v>
      </c>
    </row>
    <row r="256" spans="1:14" s="20" customFormat="1">
      <c r="A256" s="253"/>
      <c r="B256" s="231"/>
      <c r="C256" s="32" t="s">
        <v>47</v>
      </c>
      <c r="D256" s="77">
        <v>22020301</v>
      </c>
      <c r="E256" s="135" t="s">
        <v>737</v>
      </c>
      <c r="F256" s="136">
        <v>4160000</v>
      </c>
      <c r="G256" s="28">
        <v>4160000</v>
      </c>
      <c r="H256" s="28"/>
      <c r="I256" s="28"/>
      <c r="J256" s="28">
        <v>4160000</v>
      </c>
      <c r="K256" s="488">
        <f t="shared" si="54"/>
        <v>182208</v>
      </c>
      <c r="L256" s="469">
        <v>3977792</v>
      </c>
      <c r="M256" s="28">
        <v>4160000</v>
      </c>
      <c r="N256" s="28">
        <v>4160000</v>
      </c>
    </row>
    <row r="257" spans="1:14" s="20" customFormat="1">
      <c r="A257" s="253"/>
      <c r="B257" s="231"/>
      <c r="C257" s="32" t="s">
        <v>47</v>
      </c>
      <c r="D257" s="77">
        <v>22020305</v>
      </c>
      <c r="E257" s="135" t="s">
        <v>755</v>
      </c>
      <c r="F257" s="136">
        <v>16000000</v>
      </c>
      <c r="G257" s="28">
        <v>10000000</v>
      </c>
      <c r="H257" s="28"/>
      <c r="I257" s="28"/>
      <c r="J257" s="28">
        <v>10000000</v>
      </c>
      <c r="K257" s="488">
        <f t="shared" si="54"/>
        <v>438000</v>
      </c>
      <c r="L257" s="469">
        <v>9562000</v>
      </c>
      <c r="M257" s="28">
        <v>16000000</v>
      </c>
      <c r="N257" s="28">
        <v>16000000</v>
      </c>
    </row>
    <row r="258" spans="1:14" s="20" customFormat="1">
      <c r="A258" s="253"/>
      <c r="B258" s="231"/>
      <c r="C258" s="32" t="s">
        <v>47</v>
      </c>
      <c r="D258" s="77">
        <v>22020315</v>
      </c>
      <c r="E258" s="135" t="s">
        <v>740</v>
      </c>
      <c r="F258" s="136">
        <v>868000</v>
      </c>
      <c r="G258" s="28">
        <v>868000</v>
      </c>
      <c r="H258" s="28"/>
      <c r="I258" s="28"/>
      <c r="J258" s="28">
        <v>868000</v>
      </c>
      <c r="K258" s="488">
        <f t="shared" si="54"/>
        <v>38018.400000000001</v>
      </c>
      <c r="L258" s="469">
        <v>829981.60000000009</v>
      </c>
      <c r="M258" s="28">
        <v>868000</v>
      </c>
      <c r="N258" s="28">
        <v>868000</v>
      </c>
    </row>
    <row r="259" spans="1:14" s="20" customFormat="1">
      <c r="A259" s="253"/>
      <c r="B259" s="231"/>
      <c r="C259" s="32" t="s">
        <v>47</v>
      </c>
      <c r="D259" s="77">
        <v>22020401</v>
      </c>
      <c r="E259" s="135" t="s">
        <v>741</v>
      </c>
      <c r="F259" s="136">
        <v>3748620</v>
      </c>
      <c r="G259" s="28">
        <v>3748620</v>
      </c>
      <c r="H259" s="28"/>
      <c r="I259" s="28"/>
      <c r="J259" s="28">
        <v>3748620</v>
      </c>
      <c r="K259" s="488">
        <f t="shared" si="54"/>
        <v>164189.55599999998</v>
      </c>
      <c r="L259" s="469">
        <v>3584430.4440000001</v>
      </c>
      <c r="M259" s="28">
        <v>3748620</v>
      </c>
      <c r="N259" s="28">
        <v>3748620</v>
      </c>
    </row>
    <row r="260" spans="1:14" s="20" customFormat="1">
      <c r="A260" s="253"/>
      <c r="B260" s="231"/>
      <c r="C260" s="32" t="s">
        <v>47</v>
      </c>
      <c r="D260" s="77">
        <v>22020402</v>
      </c>
      <c r="E260" s="135" t="s">
        <v>757</v>
      </c>
      <c r="F260" s="136">
        <v>400000</v>
      </c>
      <c r="G260" s="28">
        <v>400000</v>
      </c>
      <c r="H260" s="28"/>
      <c r="I260" s="28"/>
      <c r="J260" s="28">
        <v>400000</v>
      </c>
      <c r="K260" s="488">
        <f t="shared" si="54"/>
        <v>17520</v>
      </c>
      <c r="L260" s="469">
        <v>382480</v>
      </c>
      <c r="M260" s="28">
        <v>400000</v>
      </c>
      <c r="N260" s="28">
        <v>400000</v>
      </c>
    </row>
    <row r="261" spans="1:14" s="20" customFormat="1">
      <c r="A261" s="253"/>
      <c r="B261" s="231"/>
      <c r="C261" s="32" t="s">
        <v>47</v>
      </c>
      <c r="D261" s="77">
        <v>22020404</v>
      </c>
      <c r="E261" s="135" t="s">
        <v>742</v>
      </c>
      <c r="F261" s="136">
        <v>2004000</v>
      </c>
      <c r="G261" s="28">
        <v>2004000</v>
      </c>
      <c r="H261" s="28"/>
      <c r="I261" s="28"/>
      <c r="J261" s="28">
        <v>2004000</v>
      </c>
      <c r="K261" s="488">
        <f t="shared" si="54"/>
        <v>87775.2</v>
      </c>
      <c r="L261" s="469">
        <v>1916224.8</v>
      </c>
      <c r="M261" s="28">
        <v>2004000</v>
      </c>
      <c r="N261" s="28">
        <v>2004000</v>
      </c>
    </row>
    <row r="262" spans="1:14" s="20" customFormat="1">
      <c r="A262" s="253"/>
      <c r="B262" s="231"/>
      <c r="C262" s="32" t="s">
        <v>47</v>
      </c>
      <c r="D262" s="77">
        <v>22020405</v>
      </c>
      <c r="E262" s="135" t="s">
        <v>743</v>
      </c>
      <c r="F262" s="136">
        <v>3500000</v>
      </c>
      <c r="G262" s="28">
        <v>3500000</v>
      </c>
      <c r="H262" s="28"/>
      <c r="I262" s="28"/>
      <c r="J262" s="28">
        <v>3500000</v>
      </c>
      <c r="K262" s="488">
        <f t="shared" si="54"/>
        <v>153300</v>
      </c>
      <c r="L262" s="469">
        <v>3346700</v>
      </c>
      <c r="M262" s="28">
        <v>3500000</v>
      </c>
      <c r="N262" s="28">
        <v>3500000</v>
      </c>
    </row>
    <row r="263" spans="1:14" s="20" customFormat="1">
      <c r="A263" s="253"/>
      <c r="B263" s="231"/>
      <c r="C263" s="32" t="s">
        <v>47</v>
      </c>
      <c r="D263" s="77">
        <v>22020415</v>
      </c>
      <c r="E263" s="135" t="s">
        <v>744</v>
      </c>
      <c r="F263" s="136">
        <v>8475000</v>
      </c>
      <c r="G263" s="28">
        <v>0</v>
      </c>
      <c r="H263" s="28"/>
      <c r="I263" s="28"/>
      <c r="J263" s="28">
        <v>0</v>
      </c>
      <c r="K263" s="488">
        <f t="shared" si="54"/>
        <v>0</v>
      </c>
      <c r="L263" s="469">
        <v>0</v>
      </c>
      <c r="M263" s="28">
        <v>8475000</v>
      </c>
      <c r="N263" s="28">
        <v>8475000</v>
      </c>
    </row>
    <row r="264" spans="1:14" s="20" customFormat="1">
      <c r="A264" s="253"/>
      <c r="B264" s="231"/>
      <c r="C264" s="32" t="s">
        <v>47</v>
      </c>
      <c r="D264" s="77">
        <v>22020416</v>
      </c>
      <c r="E264" s="135" t="s">
        <v>782</v>
      </c>
      <c r="F264" s="136">
        <v>28475000</v>
      </c>
      <c r="G264" s="28">
        <v>20475000</v>
      </c>
      <c r="H264" s="28"/>
      <c r="I264" s="28"/>
      <c r="J264" s="28">
        <v>20475000</v>
      </c>
      <c r="K264" s="488">
        <f t="shared" si="54"/>
        <v>896805</v>
      </c>
      <c r="L264" s="469">
        <v>19578195</v>
      </c>
      <c r="M264" s="28">
        <v>28475000</v>
      </c>
      <c r="N264" s="28">
        <v>28475000</v>
      </c>
    </row>
    <row r="265" spans="1:14" s="20" customFormat="1">
      <c r="A265" s="253"/>
      <c r="B265" s="231"/>
      <c r="C265" s="32" t="s">
        <v>47</v>
      </c>
      <c r="D265" s="77">
        <v>22020604</v>
      </c>
      <c r="E265" s="135" t="s">
        <v>813</v>
      </c>
      <c r="F265" s="136">
        <v>780000000</v>
      </c>
      <c r="G265" s="28">
        <v>500000000</v>
      </c>
      <c r="H265" s="28"/>
      <c r="I265" s="28"/>
      <c r="J265" s="28">
        <v>500000000</v>
      </c>
      <c r="K265" s="488">
        <f t="shared" si="54"/>
        <v>21900000</v>
      </c>
      <c r="L265" s="469">
        <v>478100000</v>
      </c>
      <c r="M265" s="28">
        <v>780000000</v>
      </c>
      <c r="N265" s="28">
        <v>780000000</v>
      </c>
    </row>
    <row r="266" spans="1:14" s="20" customFormat="1">
      <c r="A266" s="253"/>
      <c r="B266" s="231"/>
      <c r="C266" s="32" t="s">
        <v>47</v>
      </c>
      <c r="D266" s="77">
        <v>22020606</v>
      </c>
      <c r="E266" s="135" t="s">
        <v>814</v>
      </c>
      <c r="F266" s="136">
        <v>2800600299.96</v>
      </c>
      <c r="G266" s="28">
        <v>2300600299</v>
      </c>
      <c r="H266" s="28"/>
      <c r="I266" s="28"/>
      <c r="J266" s="28">
        <v>2300600299</v>
      </c>
      <c r="K266" s="488">
        <f t="shared" si="54"/>
        <v>100766293.0962</v>
      </c>
      <c r="L266" s="469">
        <v>2199834005.9038</v>
      </c>
      <c r="M266" s="28">
        <v>2800600299.96</v>
      </c>
      <c r="N266" s="28">
        <v>2800600299.96</v>
      </c>
    </row>
    <row r="267" spans="1:14" s="20" customFormat="1">
      <c r="A267" s="253"/>
      <c r="B267" s="231"/>
      <c r="C267" s="32" t="s">
        <v>47</v>
      </c>
      <c r="D267" s="77">
        <v>22020801</v>
      </c>
      <c r="E267" s="135" t="s">
        <v>747</v>
      </c>
      <c r="F267" s="136">
        <v>7000210</v>
      </c>
      <c r="G267" s="28">
        <v>2000000</v>
      </c>
      <c r="H267" s="28"/>
      <c r="I267" s="28"/>
      <c r="J267" s="28">
        <v>2000000</v>
      </c>
      <c r="K267" s="488">
        <f t="shared" si="54"/>
        <v>87600</v>
      </c>
      <c r="L267" s="469">
        <v>1912400</v>
      </c>
      <c r="M267" s="28">
        <v>7000210</v>
      </c>
      <c r="N267" s="28">
        <v>7000210</v>
      </c>
    </row>
    <row r="268" spans="1:14" s="20" customFormat="1">
      <c r="A268" s="253"/>
      <c r="B268" s="231"/>
      <c r="C268" s="32" t="s">
        <v>47</v>
      </c>
      <c r="D268" s="77">
        <v>22020803</v>
      </c>
      <c r="E268" s="135" t="s">
        <v>748</v>
      </c>
      <c r="F268" s="136">
        <v>24000000</v>
      </c>
      <c r="G268" s="28">
        <v>24000000</v>
      </c>
      <c r="H268" s="28"/>
      <c r="I268" s="28"/>
      <c r="J268" s="28">
        <v>24000000</v>
      </c>
      <c r="K268" s="488">
        <f t="shared" si="54"/>
        <v>1051200</v>
      </c>
      <c r="L268" s="469">
        <v>22948800</v>
      </c>
      <c r="M268" s="28">
        <v>24000000</v>
      </c>
      <c r="N268" s="28">
        <v>24000000</v>
      </c>
    </row>
    <row r="269" spans="1:14" s="20" customFormat="1">
      <c r="A269" s="253"/>
      <c r="B269" s="231"/>
      <c r="C269" s="32" t="s">
        <v>47</v>
      </c>
      <c r="D269" s="77">
        <v>22021001</v>
      </c>
      <c r="E269" s="135" t="s">
        <v>772</v>
      </c>
      <c r="F269" s="136">
        <v>25924300</v>
      </c>
      <c r="G269" s="28">
        <v>21000000</v>
      </c>
      <c r="H269" s="28"/>
      <c r="I269" s="28"/>
      <c r="J269" s="28">
        <v>21000000</v>
      </c>
      <c r="K269" s="488">
        <f t="shared" si="54"/>
        <v>919800</v>
      </c>
      <c r="L269" s="469">
        <v>20080200</v>
      </c>
      <c r="M269" s="28">
        <v>25924300</v>
      </c>
      <c r="N269" s="28">
        <v>25924300</v>
      </c>
    </row>
    <row r="270" spans="1:14" s="20" customFormat="1">
      <c r="A270" s="253"/>
      <c r="B270" s="231"/>
      <c r="C270" s="32" t="s">
        <v>47</v>
      </c>
      <c r="D270" s="77">
        <v>22021003</v>
      </c>
      <c r="E270" s="135" t="s">
        <v>760</v>
      </c>
      <c r="F270" s="136">
        <v>31910000</v>
      </c>
      <c r="G270" s="28">
        <v>4910000</v>
      </c>
      <c r="H270" s="28"/>
      <c r="I270" s="28"/>
      <c r="J270" s="28">
        <v>4910000</v>
      </c>
      <c r="K270" s="488">
        <f t="shared" si="54"/>
        <v>215058</v>
      </c>
      <c r="L270" s="469">
        <v>4694942</v>
      </c>
      <c r="M270" s="28">
        <v>31910000</v>
      </c>
      <c r="N270" s="28">
        <v>31910000</v>
      </c>
    </row>
    <row r="271" spans="1:14" s="20" customFormat="1">
      <c r="A271" s="253"/>
      <c r="B271" s="231"/>
      <c r="C271" s="32" t="s">
        <v>47</v>
      </c>
      <c r="D271" s="77">
        <v>22021022</v>
      </c>
      <c r="E271" s="135" t="s">
        <v>815</v>
      </c>
      <c r="F271" s="136">
        <v>300000000</v>
      </c>
      <c r="G271" s="28">
        <v>250000000</v>
      </c>
      <c r="H271" s="28"/>
      <c r="I271" s="28"/>
      <c r="J271" s="28">
        <v>250000000</v>
      </c>
      <c r="K271" s="488">
        <f t="shared" si="54"/>
        <v>10950000</v>
      </c>
      <c r="L271" s="469">
        <v>239050000</v>
      </c>
      <c r="M271" s="28">
        <v>300000000</v>
      </c>
      <c r="N271" s="28">
        <v>300000000</v>
      </c>
    </row>
    <row r="272" spans="1:14" s="20" customFormat="1">
      <c r="A272" s="253"/>
      <c r="B272" s="231"/>
      <c r="C272" s="32" t="s">
        <v>47</v>
      </c>
      <c r="D272" s="77">
        <v>22021024</v>
      </c>
      <c r="E272" s="135" t="s">
        <v>816</v>
      </c>
      <c r="F272" s="136">
        <v>300000000</v>
      </c>
      <c r="G272" s="28">
        <v>150000000</v>
      </c>
      <c r="H272" s="28"/>
      <c r="I272" s="28"/>
      <c r="J272" s="28">
        <v>150000000</v>
      </c>
      <c r="K272" s="488">
        <f t="shared" si="54"/>
        <v>6570000</v>
      </c>
      <c r="L272" s="469">
        <v>143430000</v>
      </c>
      <c r="M272" s="28">
        <v>300000000</v>
      </c>
      <c r="N272" s="28">
        <v>300000000</v>
      </c>
    </row>
    <row r="273" spans="1:14" s="20" customFormat="1">
      <c r="A273" s="253"/>
      <c r="B273" s="231"/>
      <c r="C273" s="32" t="s">
        <v>47</v>
      </c>
      <c r="D273" s="77">
        <v>22021026</v>
      </c>
      <c r="E273" s="135" t="s">
        <v>751</v>
      </c>
      <c r="F273" s="136">
        <v>50000000</v>
      </c>
      <c r="G273" s="28">
        <v>0</v>
      </c>
      <c r="H273" s="28"/>
      <c r="I273" s="28"/>
      <c r="J273" s="28">
        <v>0</v>
      </c>
      <c r="K273" s="488">
        <f t="shared" si="54"/>
        <v>0</v>
      </c>
      <c r="L273" s="469">
        <v>0</v>
      </c>
      <c r="M273" s="28">
        <v>50000000</v>
      </c>
      <c r="N273" s="28">
        <v>50000000</v>
      </c>
    </row>
    <row r="274" spans="1:14" s="20" customFormat="1">
      <c r="A274" s="253"/>
      <c r="B274" s="231"/>
      <c r="C274" s="32" t="s">
        <v>47</v>
      </c>
      <c r="D274" s="77">
        <v>22021027</v>
      </c>
      <c r="E274" s="135" t="s">
        <v>817</v>
      </c>
      <c r="F274" s="136">
        <v>100000000</v>
      </c>
      <c r="G274" s="28">
        <v>0</v>
      </c>
      <c r="H274" s="28"/>
      <c r="I274" s="28"/>
      <c r="J274" s="28">
        <v>0</v>
      </c>
      <c r="K274" s="488">
        <f t="shared" si="54"/>
        <v>0</v>
      </c>
      <c r="L274" s="469">
        <v>0</v>
      </c>
      <c r="M274" s="28">
        <v>100000000</v>
      </c>
      <c r="N274" s="28">
        <v>100000000</v>
      </c>
    </row>
    <row r="275" spans="1:14" s="20" customFormat="1" ht="30.75" customHeight="1">
      <c r="A275" s="253"/>
      <c r="B275" s="231"/>
      <c r="C275" s="32" t="s">
        <v>47</v>
      </c>
      <c r="D275" s="77"/>
      <c r="E275" s="240" t="s">
        <v>2167</v>
      </c>
      <c r="F275" s="136"/>
      <c r="G275" s="28">
        <v>1200000000</v>
      </c>
      <c r="H275" s="28"/>
      <c r="I275" s="28"/>
      <c r="J275" s="28">
        <v>1200000000</v>
      </c>
      <c r="K275" s="488">
        <f t="shared" si="54"/>
        <v>52560000</v>
      </c>
      <c r="L275" s="469">
        <v>1147440000</v>
      </c>
      <c r="M275" s="28">
        <f>G275*10%+G275</f>
        <v>1320000000</v>
      </c>
      <c r="N275" s="28">
        <f t="shared" ref="N275" si="55">M275*10%+M275</f>
        <v>1452000000</v>
      </c>
    </row>
    <row r="276" spans="1:14" s="20" customFormat="1">
      <c r="A276" s="238"/>
      <c r="B276" s="231"/>
      <c r="C276" s="30" t="s">
        <v>1837</v>
      </c>
      <c r="D276" s="23"/>
      <c r="E276" s="25"/>
      <c r="F276" s="137">
        <f>SUM(F252:F274)</f>
        <v>4532585429.96</v>
      </c>
      <c r="G276" s="114">
        <f>SUM(G252:G275)</f>
        <v>4510665919</v>
      </c>
      <c r="H276" s="114">
        <f t="shared" ref="H276:I276" si="56">SUM(H252:H275)</f>
        <v>0</v>
      </c>
      <c r="I276" s="114">
        <f t="shared" si="56"/>
        <v>0</v>
      </c>
      <c r="J276" s="114">
        <f>SUM(J252:J275)</f>
        <v>4510665919</v>
      </c>
      <c r="K276" s="490">
        <f>SUM(K252:K275)</f>
        <v>197567167.25220001</v>
      </c>
      <c r="L276" s="468">
        <f>SUM(L252:L275)</f>
        <v>4313098751.7477999</v>
      </c>
      <c r="M276" s="114">
        <f>SUM(M252:M275)</f>
        <v>5852585429.96</v>
      </c>
      <c r="N276" s="114">
        <f>SUM(N252:N275)</f>
        <v>5984585429.96</v>
      </c>
    </row>
    <row r="277" spans="1:14" s="66" customFormat="1" ht="30">
      <c r="A277" s="238" t="s">
        <v>806</v>
      </c>
      <c r="B277" s="231" t="s">
        <v>1847</v>
      </c>
      <c r="C277" s="30"/>
      <c r="D277" s="23"/>
      <c r="E277" s="25"/>
      <c r="F277" s="137">
        <f>F276+F251</f>
        <v>5022583173.7399998</v>
      </c>
      <c r="G277" s="114">
        <f>G276+G251</f>
        <v>5000663662.7799997</v>
      </c>
      <c r="H277" s="114">
        <f t="shared" ref="H277:I277" si="57">H276+H251</f>
        <v>0</v>
      </c>
      <c r="I277" s="114">
        <f t="shared" si="57"/>
        <v>0</v>
      </c>
      <c r="J277" s="114">
        <f>J276+J251</f>
        <v>5000663662.7799997</v>
      </c>
      <c r="K277" s="490"/>
      <c r="L277" s="468">
        <f>L276+L251</f>
        <v>4803096495.5277996</v>
      </c>
      <c r="M277" s="114">
        <f>M276+M251</f>
        <v>6391582948.118</v>
      </c>
      <c r="N277" s="114">
        <f>N276+N251</f>
        <v>6577482699.9337997</v>
      </c>
    </row>
    <row r="278" spans="1:14" s="20" customFormat="1" ht="21">
      <c r="A278" s="252"/>
      <c r="B278" s="443"/>
      <c r="C278" s="228"/>
      <c r="D278" s="229"/>
      <c r="E278" s="230"/>
      <c r="F278" s="215"/>
      <c r="G278" s="296"/>
      <c r="H278" s="296"/>
      <c r="I278" s="296"/>
      <c r="J278" s="28"/>
      <c r="K278" s="488"/>
      <c r="L278" s="468"/>
      <c r="M278" s="296"/>
      <c r="N278" s="296"/>
    </row>
    <row r="279" spans="1:14" s="20" customFormat="1" ht="30">
      <c r="A279" s="238" t="s">
        <v>818</v>
      </c>
      <c r="B279" s="231" t="s">
        <v>159</v>
      </c>
      <c r="C279" s="32" t="s">
        <v>46</v>
      </c>
      <c r="D279" s="77">
        <v>21010101</v>
      </c>
      <c r="E279" s="135" t="s">
        <v>725</v>
      </c>
      <c r="F279" s="136">
        <v>2582037.84</v>
      </c>
      <c r="G279" s="28">
        <v>2582037.84</v>
      </c>
      <c r="H279" s="28">
        <v>1291010</v>
      </c>
      <c r="I279" s="28"/>
      <c r="J279" s="28">
        <v>3873047.84</v>
      </c>
      <c r="K279" s="488"/>
      <c r="L279" s="467">
        <v>3873047.84</v>
      </c>
      <c r="M279" s="28">
        <f t="shared" ref="M279:M286" si="58">G279*10%+G279</f>
        <v>2840241.6239999998</v>
      </c>
      <c r="N279" s="28">
        <f>M279*10%+M279</f>
        <v>3124265.7863999996</v>
      </c>
    </row>
    <row r="280" spans="1:14" s="20" customFormat="1">
      <c r="A280" s="253"/>
      <c r="B280" s="231"/>
      <c r="C280" s="32" t="s">
        <v>46</v>
      </c>
      <c r="D280" s="77">
        <v>21020101</v>
      </c>
      <c r="E280" s="135" t="s">
        <v>726</v>
      </c>
      <c r="F280" s="136">
        <v>645509.46</v>
      </c>
      <c r="G280" s="28">
        <v>645509.46</v>
      </c>
      <c r="H280" s="28">
        <v>322741</v>
      </c>
      <c r="I280" s="28"/>
      <c r="J280" s="28">
        <v>968250.46</v>
      </c>
      <c r="K280" s="488"/>
      <c r="L280" s="467">
        <v>968250.46</v>
      </c>
      <c r="M280" s="28">
        <f t="shared" si="58"/>
        <v>710060.40599999996</v>
      </c>
      <c r="N280" s="28">
        <f t="shared" ref="N280:N286" si="59">M280*10%+M280</f>
        <v>781066.44659999991</v>
      </c>
    </row>
    <row r="281" spans="1:14" s="20" customFormat="1">
      <c r="A281" s="253"/>
      <c r="B281" s="231"/>
      <c r="C281" s="32" t="s">
        <v>46</v>
      </c>
      <c r="D281" s="77">
        <v>21020102</v>
      </c>
      <c r="E281" s="135" t="s">
        <v>727</v>
      </c>
      <c r="F281" s="136">
        <v>258203.78</v>
      </c>
      <c r="G281" s="28">
        <v>258203.78</v>
      </c>
      <c r="H281" s="28">
        <v>129102</v>
      </c>
      <c r="I281" s="28"/>
      <c r="J281" s="28">
        <v>387305.78</v>
      </c>
      <c r="K281" s="488"/>
      <c r="L281" s="467">
        <v>387305.78</v>
      </c>
      <c r="M281" s="28">
        <f t="shared" si="58"/>
        <v>284024.158</v>
      </c>
      <c r="N281" s="28">
        <f t="shared" si="59"/>
        <v>312426.57380000001</v>
      </c>
    </row>
    <row r="282" spans="1:14" s="20" customFormat="1">
      <c r="A282" s="253"/>
      <c r="B282" s="231"/>
      <c r="C282" s="32" t="s">
        <v>46</v>
      </c>
      <c r="D282" s="77">
        <v>21020103</v>
      </c>
      <c r="E282" s="135" t="s">
        <v>728</v>
      </c>
      <c r="F282" s="136">
        <v>129101.89</v>
      </c>
      <c r="G282" s="28">
        <v>129101.89</v>
      </c>
      <c r="H282" s="28">
        <v>64551</v>
      </c>
      <c r="I282" s="28"/>
      <c r="J282" s="28">
        <v>193652.89</v>
      </c>
      <c r="K282" s="488"/>
      <c r="L282" s="467">
        <v>193652.89</v>
      </c>
      <c r="M282" s="28">
        <f t="shared" si="58"/>
        <v>142012.079</v>
      </c>
      <c r="N282" s="28">
        <f t="shared" si="59"/>
        <v>156213.28690000001</v>
      </c>
    </row>
    <row r="283" spans="1:14" s="20" customFormat="1">
      <c r="A283" s="253"/>
      <c r="B283" s="231"/>
      <c r="C283" s="32" t="s">
        <v>46</v>
      </c>
      <c r="D283" s="77">
        <v>21020104</v>
      </c>
      <c r="E283" s="135" t="s">
        <v>729</v>
      </c>
      <c r="F283" s="136">
        <v>129102</v>
      </c>
      <c r="G283" s="28">
        <v>129102</v>
      </c>
      <c r="H283" s="28">
        <v>64551</v>
      </c>
      <c r="I283" s="28"/>
      <c r="J283" s="28">
        <v>193653</v>
      </c>
      <c r="K283" s="488"/>
      <c r="L283" s="467">
        <v>193653</v>
      </c>
      <c r="M283" s="28">
        <f t="shared" si="58"/>
        <v>142012.20000000001</v>
      </c>
      <c r="N283" s="28">
        <f t="shared" si="59"/>
        <v>156213.42000000001</v>
      </c>
    </row>
    <row r="284" spans="1:14" s="20" customFormat="1">
      <c r="A284" s="253"/>
      <c r="B284" s="231"/>
      <c r="C284" s="32" t="s">
        <v>46</v>
      </c>
      <c r="D284" s="77">
        <v>21020105</v>
      </c>
      <c r="E284" s="135" t="s">
        <v>730</v>
      </c>
      <c r="F284" s="136">
        <v>61240</v>
      </c>
      <c r="G284" s="28">
        <v>61240</v>
      </c>
      <c r="H284" s="28">
        <v>30620</v>
      </c>
      <c r="I284" s="28"/>
      <c r="J284" s="28">
        <v>91860</v>
      </c>
      <c r="K284" s="488"/>
      <c r="L284" s="467">
        <v>91860</v>
      </c>
      <c r="M284" s="28">
        <f t="shared" si="58"/>
        <v>67364</v>
      </c>
      <c r="N284" s="28">
        <f t="shared" si="59"/>
        <v>74100.399999999994</v>
      </c>
    </row>
    <row r="285" spans="1:14" s="20" customFormat="1">
      <c r="A285" s="253"/>
      <c r="B285" s="231"/>
      <c r="C285" s="32" t="s">
        <v>46</v>
      </c>
      <c r="D285" s="77">
        <v>21020106</v>
      </c>
      <c r="E285" s="135" t="s">
        <v>731</v>
      </c>
      <c r="F285" s="136">
        <v>258203.78</v>
      </c>
      <c r="G285" s="28">
        <v>258203.78</v>
      </c>
      <c r="H285" s="28">
        <v>129102</v>
      </c>
      <c r="I285" s="28"/>
      <c r="J285" s="28">
        <v>387305.78</v>
      </c>
      <c r="K285" s="488"/>
      <c r="L285" s="467">
        <v>387305.78</v>
      </c>
      <c r="M285" s="28">
        <f t="shared" si="58"/>
        <v>284024.158</v>
      </c>
      <c r="N285" s="28">
        <f t="shared" si="59"/>
        <v>312426.57380000001</v>
      </c>
    </row>
    <row r="286" spans="1:14" s="20" customFormat="1">
      <c r="A286" s="253"/>
      <c r="B286" s="231"/>
      <c r="C286" s="32" t="s">
        <v>46</v>
      </c>
      <c r="D286" s="77">
        <v>21020107</v>
      </c>
      <c r="E286" s="135" t="s">
        <v>732</v>
      </c>
      <c r="F286" s="136">
        <v>432000</v>
      </c>
      <c r="G286" s="28">
        <v>432000</v>
      </c>
      <c r="H286" s="28">
        <v>216000</v>
      </c>
      <c r="I286" s="28"/>
      <c r="J286" s="28">
        <v>648000</v>
      </c>
      <c r="K286" s="488"/>
      <c r="L286" s="467">
        <v>648000</v>
      </c>
      <c r="M286" s="28">
        <f t="shared" si="58"/>
        <v>475200</v>
      </c>
      <c r="N286" s="28">
        <f t="shared" si="59"/>
        <v>522720</v>
      </c>
    </row>
    <row r="287" spans="1:14" s="20" customFormat="1">
      <c r="A287" s="253"/>
      <c r="B287" s="231"/>
      <c r="C287" s="30" t="s">
        <v>1836</v>
      </c>
      <c r="D287" s="23"/>
      <c r="E287" s="25"/>
      <c r="F287" s="137">
        <f>SUM(F279:F286)</f>
        <v>4495398.75</v>
      </c>
      <c r="G287" s="114">
        <f>SUM(G279:G286)</f>
        <v>4495398.75</v>
      </c>
      <c r="H287" s="114">
        <f t="shared" ref="H287:I287" si="60">SUM(H279:H286)</f>
        <v>2247677</v>
      </c>
      <c r="I287" s="114">
        <f t="shared" si="60"/>
        <v>0</v>
      </c>
      <c r="J287" s="114">
        <f>SUM(J279:J286)</f>
        <v>6743075.75</v>
      </c>
      <c r="K287" s="490"/>
      <c r="L287" s="468">
        <f>SUM(L279:L286)</f>
        <v>6743075.75</v>
      </c>
      <c r="M287" s="114">
        <f>SUM(M279:M286)</f>
        <v>4944938.625</v>
      </c>
      <c r="N287" s="114">
        <f>SUM(N279:N286)</f>
        <v>5439432.4874999998</v>
      </c>
    </row>
    <row r="288" spans="1:14" s="20" customFormat="1">
      <c r="A288" s="253"/>
      <c r="B288" s="231"/>
      <c r="C288" s="32" t="s">
        <v>47</v>
      </c>
      <c r="D288" s="77">
        <v>22020105</v>
      </c>
      <c r="E288" s="135" t="s">
        <v>1733</v>
      </c>
      <c r="F288" s="136">
        <v>112000</v>
      </c>
      <c r="G288" s="28">
        <v>112000</v>
      </c>
      <c r="H288" s="28">
        <v>388000</v>
      </c>
      <c r="I288" s="28"/>
      <c r="J288" s="28">
        <v>500000</v>
      </c>
      <c r="K288" s="488">
        <f>J288*4.38%</f>
        <v>21900</v>
      </c>
      <c r="L288" s="469">
        <v>478100</v>
      </c>
      <c r="M288" s="28">
        <v>112000</v>
      </c>
      <c r="N288" s="28">
        <v>112000</v>
      </c>
    </row>
    <row r="289" spans="1:14" s="20" customFormat="1">
      <c r="A289" s="253"/>
      <c r="B289" s="231"/>
      <c r="C289" s="32" t="s">
        <v>47</v>
      </c>
      <c r="D289" s="77">
        <v>22020301</v>
      </c>
      <c r="E289" s="135" t="s">
        <v>737</v>
      </c>
      <c r="F289" s="136">
        <v>677500</v>
      </c>
      <c r="G289" s="28">
        <f>377500+242900</f>
        <v>620400</v>
      </c>
      <c r="H289" s="28"/>
      <c r="I289" s="28"/>
      <c r="J289" s="28">
        <v>620400</v>
      </c>
      <c r="K289" s="488">
        <f t="shared" ref="K289:K306" si="61">J289*4.38%</f>
        <v>27173.52</v>
      </c>
      <c r="L289" s="469">
        <v>593226.48</v>
      </c>
      <c r="M289" s="28">
        <v>677500</v>
      </c>
      <c r="N289" s="28">
        <v>677500</v>
      </c>
    </row>
    <row r="290" spans="1:14" s="20" customFormat="1">
      <c r="A290" s="253"/>
      <c r="B290" s="231"/>
      <c r="C290" s="32" t="s">
        <v>47</v>
      </c>
      <c r="D290" s="77">
        <v>22020305</v>
      </c>
      <c r="E290" s="135" t="s">
        <v>755</v>
      </c>
      <c r="F290" s="136">
        <v>200000</v>
      </c>
      <c r="G290" s="28">
        <v>200000</v>
      </c>
      <c r="H290" s="28">
        <v>300000</v>
      </c>
      <c r="I290" s="28"/>
      <c r="J290" s="28">
        <v>500000</v>
      </c>
      <c r="K290" s="488">
        <f t="shared" si="61"/>
        <v>21900</v>
      </c>
      <c r="L290" s="469">
        <v>478100</v>
      </c>
      <c r="M290" s="28">
        <v>200000</v>
      </c>
      <c r="N290" s="28">
        <v>200000</v>
      </c>
    </row>
    <row r="291" spans="1:14" s="20" customFormat="1">
      <c r="A291" s="253"/>
      <c r="B291" s="231"/>
      <c r="C291" s="32" t="s">
        <v>47</v>
      </c>
      <c r="D291" s="77">
        <v>22020310</v>
      </c>
      <c r="E291" s="135" t="s">
        <v>819</v>
      </c>
      <c r="F291" s="136">
        <v>200000</v>
      </c>
      <c r="G291" s="28">
        <v>200000</v>
      </c>
      <c r="H291" s="28"/>
      <c r="I291" s="28"/>
      <c r="J291" s="28">
        <v>200000</v>
      </c>
      <c r="K291" s="488">
        <f t="shared" si="61"/>
        <v>8760</v>
      </c>
      <c r="L291" s="469">
        <v>191240</v>
      </c>
      <c r="M291" s="28">
        <v>200000</v>
      </c>
      <c r="N291" s="28">
        <v>200000</v>
      </c>
    </row>
    <row r="292" spans="1:14" s="20" customFormat="1">
      <c r="A292" s="253"/>
      <c r="B292" s="231"/>
      <c r="C292" s="32" t="s">
        <v>47</v>
      </c>
      <c r="D292" s="77">
        <v>22020401</v>
      </c>
      <c r="E292" s="135" t="s">
        <v>741</v>
      </c>
      <c r="F292" s="136">
        <v>216000</v>
      </c>
      <c r="G292" s="28">
        <v>216000</v>
      </c>
      <c r="H292" s="28"/>
      <c r="I292" s="28"/>
      <c r="J292" s="28">
        <v>216000</v>
      </c>
      <c r="K292" s="488">
        <f t="shared" si="61"/>
        <v>9460.7999999999993</v>
      </c>
      <c r="L292" s="469">
        <v>206539.2</v>
      </c>
      <c r="M292" s="28">
        <v>216000</v>
      </c>
      <c r="N292" s="28">
        <v>216000</v>
      </c>
    </row>
    <row r="293" spans="1:14" s="20" customFormat="1">
      <c r="A293" s="253"/>
      <c r="B293" s="231"/>
      <c r="C293" s="32" t="s">
        <v>47</v>
      </c>
      <c r="D293" s="77">
        <v>22020402</v>
      </c>
      <c r="E293" s="135" t="s">
        <v>757</v>
      </c>
      <c r="F293" s="136">
        <v>100000</v>
      </c>
      <c r="G293" s="28">
        <v>100000</v>
      </c>
      <c r="H293" s="28"/>
      <c r="I293" s="28"/>
      <c r="J293" s="28">
        <v>100000</v>
      </c>
      <c r="K293" s="488">
        <f t="shared" si="61"/>
        <v>4380</v>
      </c>
      <c r="L293" s="469">
        <v>95620</v>
      </c>
      <c r="M293" s="28">
        <v>100000</v>
      </c>
      <c r="N293" s="28">
        <v>100000</v>
      </c>
    </row>
    <row r="294" spans="1:14" s="20" customFormat="1">
      <c r="A294" s="253"/>
      <c r="B294" s="231"/>
      <c r="C294" s="32" t="s">
        <v>47</v>
      </c>
      <c r="D294" s="77">
        <v>22020403</v>
      </c>
      <c r="E294" s="135" t="s">
        <v>781</v>
      </c>
      <c r="F294" s="136">
        <v>120000</v>
      </c>
      <c r="G294" s="28">
        <v>120000</v>
      </c>
      <c r="H294" s="28"/>
      <c r="I294" s="28"/>
      <c r="J294" s="28">
        <v>120000</v>
      </c>
      <c r="K294" s="488">
        <f t="shared" si="61"/>
        <v>5256</v>
      </c>
      <c r="L294" s="469">
        <v>114744</v>
      </c>
      <c r="M294" s="28">
        <v>120000</v>
      </c>
      <c r="N294" s="28">
        <v>120000</v>
      </c>
    </row>
    <row r="295" spans="1:14" s="20" customFormat="1">
      <c r="A295" s="253"/>
      <c r="B295" s="231"/>
      <c r="C295" s="32" t="s">
        <v>47</v>
      </c>
      <c r="D295" s="77">
        <v>22020404</v>
      </c>
      <c r="E295" s="135" t="s">
        <v>742</v>
      </c>
      <c r="F295" s="136">
        <v>171000</v>
      </c>
      <c r="G295" s="28">
        <v>171000</v>
      </c>
      <c r="H295" s="28">
        <v>329000</v>
      </c>
      <c r="I295" s="28"/>
      <c r="J295" s="28">
        <v>500000</v>
      </c>
      <c r="K295" s="488">
        <f t="shared" si="61"/>
        <v>21900</v>
      </c>
      <c r="L295" s="469">
        <v>478100</v>
      </c>
      <c r="M295" s="28">
        <v>171000</v>
      </c>
      <c r="N295" s="28">
        <v>171000</v>
      </c>
    </row>
    <row r="296" spans="1:14" s="20" customFormat="1">
      <c r="A296" s="253"/>
      <c r="B296" s="231"/>
      <c r="C296" s="32" t="s">
        <v>47</v>
      </c>
      <c r="D296" s="77">
        <v>22020405</v>
      </c>
      <c r="E296" s="135" t="s">
        <v>743</v>
      </c>
      <c r="F296" s="136">
        <v>100000</v>
      </c>
      <c r="G296" s="28">
        <v>100000</v>
      </c>
      <c r="H296" s="28">
        <v>400000</v>
      </c>
      <c r="I296" s="28"/>
      <c r="J296" s="28">
        <v>500000</v>
      </c>
      <c r="K296" s="488">
        <f t="shared" si="61"/>
        <v>21900</v>
      </c>
      <c r="L296" s="469">
        <v>478100</v>
      </c>
      <c r="M296" s="28">
        <v>100000</v>
      </c>
      <c r="N296" s="28">
        <v>100000</v>
      </c>
    </row>
    <row r="297" spans="1:14" s="20" customFormat="1">
      <c r="A297" s="253"/>
      <c r="B297" s="231"/>
      <c r="C297" s="32" t="s">
        <v>47</v>
      </c>
      <c r="D297" s="77">
        <v>22020416</v>
      </c>
      <c r="E297" s="135" t="s">
        <v>782</v>
      </c>
      <c r="F297" s="136">
        <v>96000</v>
      </c>
      <c r="G297" s="28">
        <v>96000</v>
      </c>
      <c r="H297" s="28">
        <v>264000</v>
      </c>
      <c r="I297" s="28"/>
      <c r="J297" s="28">
        <v>360000</v>
      </c>
      <c r="K297" s="488">
        <f t="shared" si="61"/>
        <v>15768</v>
      </c>
      <c r="L297" s="469">
        <v>344232</v>
      </c>
      <c r="M297" s="28">
        <v>96000</v>
      </c>
      <c r="N297" s="28">
        <v>96000</v>
      </c>
    </row>
    <row r="298" spans="1:14" s="20" customFormat="1">
      <c r="A298" s="253"/>
      <c r="B298" s="231"/>
      <c r="C298" s="32" t="s">
        <v>47</v>
      </c>
      <c r="D298" s="77">
        <v>22020703</v>
      </c>
      <c r="E298" s="135" t="s">
        <v>770</v>
      </c>
      <c r="F298" s="136">
        <v>250000</v>
      </c>
      <c r="G298" s="28">
        <v>0</v>
      </c>
      <c r="H298" s="28">
        <v>500000</v>
      </c>
      <c r="I298" s="28"/>
      <c r="J298" s="28">
        <v>500000</v>
      </c>
      <c r="K298" s="488">
        <f t="shared" si="61"/>
        <v>21900</v>
      </c>
      <c r="L298" s="469">
        <v>478100</v>
      </c>
      <c r="M298" s="28">
        <v>250000</v>
      </c>
      <c r="N298" s="28">
        <v>250000</v>
      </c>
    </row>
    <row r="299" spans="1:14" s="20" customFormat="1">
      <c r="A299" s="253"/>
      <c r="B299" s="231"/>
      <c r="C299" s="32" t="s">
        <v>47</v>
      </c>
      <c r="D299" s="77">
        <v>22020709</v>
      </c>
      <c r="E299" s="135" t="s">
        <v>771</v>
      </c>
      <c r="F299" s="136">
        <v>800000</v>
      </c>
      <c r="G299" s="28">
        <v>350000</v>
      </c>
      <c r="H299" s="28">
        <v>150000</v>
      </c>
      <c r="I299" s="28"/>
      <c r="J299" s="28">
        <v>500000</v>
      </c>
      <c r="K299" s="488">
        <f t="shared" si="61"/>
        <v>21900</v>
      </c>
      <c r="L299" s="469">
        <v>478100</v>
      </c>
      <c r="M299" s="28">
        <v>800000</v>
      </c>
      <c r="N299" s="28">
        <v>800000</v>
      </c>
    </row>
    <row r="300" spans="1:14" s="20" customFormat="1">
      <c r="A300" s="253"/>
      <c r="B300" s="231"/>
      <c r="C300" s="32" t="s">
        <v>47</v>
      </c>
      <c r="D300" s="77">
        <v>22020710</v>
      </c>
      <c r="E300" s="135" t="s">
        <v>820</v>
      </c>
      <c r="F300" s="136">
        <v>500000</v>
      </c>
      <c r="G300" s="28">
        <v>500000</v>
      </c>
      <c r="H300" s="28">
        <v>1500000</v>
      </c>
      <c r="I300" s="28"/>
      <c r="J300" s="28">
        <v>2000000</v>
      </c>
      <c r="K300" s="488">
        <f t="shared" si="61"/>
        <v>87600</v>
      </c>
      <c r="L300" s="469">
        <v>1912400</v>
      </c>
      <c r="M300" s="28">
        <v>500000</v>
      </c>
      <c r="N300" s="28">
        <v>500000</v>
      </c>
    </row>
    <row r="301" spans="1:14" s="20" customFormat="1">
      <c r="A301" s="253"/>
      <c r="B301" s="231"/>
      <c r="C301" s="32" t="s">
        <v>47</v>
      </c>
      <c r="D301" s="77">
        <v>22020801</v>
      </c>
      <c r="E301" s="135" t="s">
        <v>747</v>
      </c>
      <c r="F301" s="136">
        <v>377000</v>
      </c>
      <c r="G301" s="28">
        <v>377000</v>
      </c>
      <c r="H301" s="28"/>
      <c r="I301" s="28"/>
      <c r="J301" s="28">
        <v>377000</v>
      </c>
      <c r="K301" s="488">
        <f t="shared" si="61"/>
        <v>16512.599999999999</v>
      </c>
      <c r="L301" s="469">
        <v>360487.4</v>
      </c>
      <c r="M301" s="28">
        <v>377000</v>
      </c>
      <c r="N301" s="28">
        <v>377000</v>
      </c>
    </row>
    <row r="302" spans="1:14" s="20" customFormat="1">
      <c r="A302" s="253"/>
      <c r="B302" s="231"/>
      <c r="C302" s="32" t="s">
        <v>47</v>
      </c>
      <c r="D302" s="77">
        <v>22020803</v>
      </c>
      <c r="E302" s="135" t="s">
        <v>748</v>
      </c>
      <c r="F302" s="136">
        <v>520000</v>
      </c>
      <c r="G302" s="28">
        <v>520000</v>
      </c>
      <c r="H302" s="28"/>
      <c r="I302" s="28"/>
      <c r="J302" s="28">
        <v>520000</v>
      </c>
      <c r="K302" s="488">
        <f t="shared" si="61"/>
        <v>22776</v>
      </c>
      <c r="L302" s="469">
        <v>497224</v>
      </c>
      <c r="M302" s="28">
        <v>520000</v>
      </c>
      <c r="N302" s="28">
        <v>520000</v>
      </c>
    </row>
    <row r="303" spans="1:14" s="20" customFormat="1">
      <c r="A303" s="253"/>
      <c r="B303" s="231"/>
      <c r="C303" s="32" t="s">
        <v>47</v>
      </c>
      <c r="D303" s="77">
        <v>22020901</v>
      </c>
      <c r="E303" s="135" t="s">
        <v>749</v>
      </c>
      <c r="F303" s="136">
        <v>9600</v>
      </c>
      <c r="G303" s="28">
        <v>9600</v>
      </c>
      <c r="H303" s="28">
        <v>8400</v>
      </c>
      <c r="I303" s="28"/>
      <c r="J303" s="28">
        <v>18000</v>
      </c>
      <c r="K303" s="488">
        <f t="shared" si="61"/>
        <v>788.4</v>
      </c>
      <c r="L303" s="469">
        <v>17211.600000000002</v>
      </c>
      <c r="M303" s="28">
        <v>9600</v>
      </c>
      <c r="N303" s="28">
        <v>9600</v>
      </c>
    </row>
    <row r="304" spans="1:14" s="20" customFormat="1">
      <c r="A304" s="253"/>
      <c r="B304" s="231"/>
      <c r="C304" s="32" t="s">
        <v>47</v>
      </c>
      <c r="D304" s="77">
        <v>22021001</v>
      </c>
      <c r="E304" s="135" t="s">
        <v>772</v>
      </c>
      <c r="F304" s="136">
        <v>140000</v>
      </c>
      <c r="G304" s="28">
        <v>140000</v>
      </c>
      <c r="H304" s="28">
        <v>110000</v>
      </c>
      <c r="I304" s="28"/>
      <c r="J304" s="28">
        <v>250000</v>
      </c>
      <c r="K304" s="488">
        <f t="shared" si="61"/>
        <v>10950</v>
      </c>
      <c r="L304" s="469">
        <v>239050</v>
      </c>
      <c r="M304" s="28">
        <v>140000</v>
      </c>
      <c r="N304" s="28">
        <v>140000</v>
      </c>
    </row>
    <row r="305" spans="1:14" s="20" customFormat="1">
      <c r="A305" s="253"/>
      <c r="B305" s="231"/>
      <c r="C305" s="32" t="s">
        <v>47</v>
      </c>
      <c r="D305" s="77">
        <v>22021002</v>
      </c>
      <c r="E305" s="135" t="s">
        <v>805</v>
      </c>
      <c r="F305" s="136">
        <v>1300000</v>
      </c>
      <c r="G305" s="28">
        <v>1300000</v>
      </c>
      <c r="H305" s="28">
        <v>1700000</v>
      </c>
      <c r="I305" s="28"/>
      <c r="J305" s="28">
        <v>3000000</v>
      </c>
      <c r="K305" s="488">
        <f t="shared" si="61"/>
        <v>131400</v>
      </c>
      <c r="L305" s="469">
        <v>2868600</v>
      </c>
      <c r="M305" s="28">
        <v>1300000</v>
      </c>
      <c r="N305" s="28">
        <v>1300000</v>
      </c>
    </row>
    <row r="306" spans="1:14" s="20" customFormat="1">
      <c r="A306" s="253"/>
      <c r="B306" s="231"/>
      <c r="C306" s="32" t="s">
        <v>47</v>
      </c>
      <c r="D306" s="77">
        <v>22021003</v>
      </c>
      <c r="E306" s="135" t="s">
        <v>760</v>
      </c>
      <c r="F306" s="136">
        <v>160000</v>
      </c>
      <c r="G306" s="28">
        <v>160000</v>
      </c>
      <c r="H306" s="28">
        <v>1040000</v>
      </c>
      <c r="I306" s="28"/>
      <c r="J306" s="28">
        <v>1200000</v>
      </c>
      <c r="K306" s="488">
        <f t="shared" si="61"/>
        <v>52560</v>
      </c>
      <c r="L306" s="469">
        <v>1147440</v>
      </c>
      <c r="M306" s="28">
        <v>160000</v>
      </c>
      <c r="N306" s="28">
        <v>160000</v>
      </c>
    </row>
    <row r="307" spans="1:14" s="20" customFormat="1">
      <c r="A307" s="238"/>
      <c r="B307" s="231"/>
      <c r="C307" s="30" t="s">
        <v>1839</v>
      </c>
      <c r="D307" s="23"/>
      <c r="E307" s="25"/>
      <c r="F307" s="137">
        <f>SUM(F288:F306)</f>
        <v>6049100</v>
      </c>
      <c r="G307" s="114">
        <f>SUM(G288:G306)</f>
        <v>5292000</v>
      </c>
      <c r="H307" s="114">
        <f t="shared" ref="H307:I307" si="62">SUM(H288:H306)</f>
        <v>6689400</v>
      </c>
      <c r="I307" s="114">
        <f t="shared" si="62"/>
        <v>0</v>
      </c>
      <c r="J307" s="114">
        <f>SUM(J288:J306)</f>
        <v>11981400</v>
      </c>
      <c r="K307" s="490">
        <f>SUM(K288:K306)</f>
        <v>524785.32000000007</v>
      </c>
      <c r="L307" s="468">
        <f>SUM(L288:L306)</f>
        <v>11456614.68</v>
      </c>
      <c r="M307" s="114">
        <f>SUM(M288:M306)</f>
        <v>6049100</v>
      </c>
      <c r="N307" s="114">
        <f>SUM(N288:N306)</f>
        <v>6049100</v>
      </c>
    </row>
    <row r="308" spans="1:14" s="66" customFormat="1" ht="30">
      <c r="A308" s="238" t="s">
        <v>818</v>
      </c>
      <c r="B308" s="231" t="s">
        <v>1848</v>
      </c>
      <c r="C308" s="30"/>
      <c r="D308" s="23"/>
      <c r="E308" s="25"/>
      <c r="F308" s="137">
        <f>F307+F287</f>
        <v>10544498.75</v>
      </c>
      <c r="G308" s="114">
        <f>G307+G287</f>
        <v>9787398.75</v>
      </c>
      <c r="H308" s="114">
        <f t="shared" ref="H308:I308" si="63">H307+H287</f>
        <v>8937077</v>
      </c>
      <c r="I308" s="114">
        <f t="shared" si="63"/>
        <v>0</v>
      </c>
      <c r="J308" s="114">
        <f>J307+J287</f>
        <v>18724475.75</v>
      </c>
      <c r="K308" s="490"/>
      <c r="L308" s="468">
        <f>L307+L287</f>
        <v>18199690.43</v>
      </c>
      <c r="M308" s="114">
        <f>M307+M287</f>
        <v>10994038.625</v>
      </c>
      <c r="N308" s="114">
        <f>N307+N287</f>
        <v>11488532.487500001</v>
      </c>
    </row>
    <row r="309" spans="1:14" s="20" customFormat="1" ht="21">
      <c r="A309" s="252"/>
      <c r="B309" s="443"/>
      <c r="C309" s="228"/>
      <c r="D309" s="229"/>
      <c r="E309" s="230"/>
      <c r="F309" s="215"/>
      <c r="G309" s="296"/>
      <c r="H309" s="296"/>
      <c r="I309" s="296"/>
      <c r="J309" s="28"/>
      <c r="K309" s="488"/>
      <c r="L309" s="468"/>
      <c r="M309" s="296"/>
      <c r="N309" s="296"/>
    </row>
    <row r="310" spans="1:14" s="20" customFormat="1" ht="30">
      <c r="A310" s="238" t="s">
        <v>821</v>
      </c>
      <c r="B310" s="231" t="s">
        <v>107</v>
      </c>
      <c r="C310" s="32" t="s">
        <v>46</v>
      </c>
      <c r="D310" s="77">
        <v>21010101</v>
      </c>
      <c r="E310" s="135" t="s">
        <v>725</v>
      </c>
      <c r="F310" s="136">
        <v>46399833.240000002</v>
      </c>
      <c r="G310" s="28">
        <v>46399833.240000002</v>
      </c>
      <c r="H310" s="28"/>
      <c r="I310" s="28"/>
      <c r="J310" s="28">
        <v>46399833.240000002</v>
      </c>
      <c r="K310" s="488"/>
      <c r="L310" s="467">
        <v>46399833.240000002</v>
      </c>
      <c r="M310" s="28">
        <f t="shared" ref="M310:M319" si="64">G310*10%+G310</f>
        <v>51039816.564000003</v>
      </c>
      <c r="N310" s="28">
        <f>M310*10%+M310</f>
        <v>56143798.220400006</v>
      </c>
    </row>
    <row r="311" spans="1:14" s="20" customFormat="1">
      <c r="A311" s="253"/>
      <c r="B311" s="231"/>
      <c r="C311" s="32" t="s">
        <v>46</v>
      </c>
      <c r="D311" s="77">
        <v>21020101</v>
      </c>
      <c r="E311" s="135" t="s">
        <v>726</v>
      </c>
      <c r="F311" s="216">
        <v>11929062.800000001</v>
      </c>
      <c r="G311" s="28">
        <v>11929062.800000001</v>
      </c>
      <c r="H311" s="28"/>
      <c r="I311" s="28"/>
      <c r="J311" s="28">
        <v>11929062.800000001</v>
      </c>
      <c r="K311" s="488"/>
      <c r="L311" s="467">
        <v>11929062.800000001</v>
      </c>
      <c r="M311" s="28">
        <f t="shared" si="64"/>
        <v>13121969.08</v>
      </c>
      <c r="N311" s="28">
        <f t="shared" ref="N311:N320" si="65">M311*10%+M311</f>
        <v>14434165.988</v>
      </c>
    </row>
    <row r="312" spans="1:14" s="20" customFormat="1">
      <c r="A312" s="253"/>
      <c r="B312" s="231"/>
      <c r="C312" s="32" t="s">
        <v>46</v>
      </c>
      <c r="D312" s="77">
        <v>21020102</v>
      </c>
      <c r="E312" s="135" t="s">
        <v>727</v>
      </c>
      <c r="F312" s="216">
        <v>4573772.05</v>
      </c>
      <c r="G312" s="28">
        <v>4573772.05</v>
      </c>
      <c r="H312" s="28"/>
      <c r="I312" s="28"/>
      <c r="J312" s="28">
        <v>4573772.05</v>
      </c>
      <c r="K312" s="488"/>
      <c r="L312" s="467">
        <v>4573772.05</v>
      </c>
      <c r="M312" s="28">
        <f t="shared" si="64"/>
        <v>5031149.2549999999</v>
      </c>
      <c r="N312" s="28">
        <f t="shared" si="65"/>
        <v>5534264.1804999998</v>
      </c>
    </row>
    <row r="313" spans="1:14" s="20" customFormat="1">
      <c r="A313" s="253"/>
      <c r="B313" s="231"/>
      <c r="C313" s="32" t="s">
        <v>46</v>
      </c>
      <c r="D313" s="77">
        <v>21020103</v>
      </c>
      <c r="E313" s="135" t="s">
        <v>728</v>
      </c>
      <c r="F313" s="216">
        <v>2396521.6800000002</v>
      </c>
      <c r="G313" s="28">
        <v>2396521.6800000002</v>
      </c>
      <c r="H313" s="28"/>
      <c r="I313" s="28"/>
      <c r="J313" s="28">
        <v>2396521.6800000002</v>
      </c>
      <c r="K313" s="488"/>
      <c r="L313" s="467">
        <v>2396521.6800000002</v>
      </c>
      <c r="M313" s="28">
        <f t="shared" si="64"/>
        <v>2636173.8480000002</v>
      </c>
      <c r="N313" s="28">
        <f t="shared" si="65"/>
        <v>2899791.2328000003</v>
      </c>
    </row>
    <row r="314" spans="1:14" s="20" customFormat="1">
      <c r="A314" s="253"/>
      <c r="B314" s="231"/>
      <c r="C314" s="32" t="s">
        <v>46</v>
      </c>
      <c r="D314" s="77">
        <v>21020104</v>
      </c>
      <c r="E314" s="135" t="s">
        <v>729</v>
      </c>
      <c r="F314" s="216">
        <v>2396521.6800000002</v>
      </c>
      <c r="G314" s="28">
        <v>2396521.6800000002</v>
      </c>
      <c r="H314" s="28"/>
      <c r="I314" s="28"/>
      <c r="J314" s="28">
        <v>2396521.6800000002</v>
      </c>
      <c r="K314" s="488"/>
      <c r="L314" s="467">
        <v>2396521.6800000002</v>
      </c>
      <c r="M314" s="28">
        <f t="shared" si="64"/>
        <v>2636173.8480000002</v>
      </c>
      <c r="N314" s="28">
        <f t="shared" si="65"/>
        <v>2899791.2328000003</v>
      </c>
    </row>
    <row r="315" spans="1:14" s="20" customFormat="1">
      <c r="A315" s="253"/>
      <c r="B315" s="231"/>
      <c r="C315" s="32" t="s">
        <v>46</v>
      </c>
      <c r="D315" s="77">
        <v>21020105</v>
      </c>
      <c r="E315" s="135" t="s">
        <v>730</v>
      </c>
      <c r="F315" s="216">
        <v>823659.84</v>
      </c>
      <c r="G315" s="28">
        <v>823659.84</v>
      </c>
      <c r="H315" s="28"/>
      <c r="I315" s="28"/>
      <c r="J315" s="28">
        <v>823659.84</v>
      </c>
      <c r="K315" s="488"/>
      <c r="L315" s="467">
        <v>823659.84</v>
      </c>
      <c r="M315" s="28">
        <f t="shared" si="64"/>
        <v>906025.82400000002</v>
      </c>
      <c r="N315" s="28">
        <f t="shared" si="65"/>
        <v>996628.40639999998</v>
      </c>
    </row>
    <row r="316" spans="1:14" s="20" customFormat="1">
      <c r="A316" s="253"/>
      <c r="B316" s="231"/>
      <c r="C316" s="32" t="s">
        <v>46</v>
      </c>
      <c r="D316" s="77">
        <v>21020106</v>
      </c>
      <c r="E316" s="135" t="s">
        <v>731</v>
      </c>
      <c r="F316" s="216">
        <v>4850978.5999999996</v>
      </c>
      <c r="G316" s="28">
        <v>4850978.5999999996</v>
      </c>
      <c r="H316" s="28"/>
      <c r="I316" s="28"/>
      <c r="J316" s="28">
        <v>4850978.5999999996</v>
      </c>
      <c r="K316" s="488"/>
      <c r="L316" s="467">
        <v>4850978.5999999996</v>
      </c>
      <c r="M316" s="28">
        <f t="shared" si="64"/>
        <v>5336076.46</v>
      </c>
      <c r="N316" s="28">
        <f t="shared" si="65"/>
        <v>5869684.1059999997</v>
      </c>
    </row>
    <row r="317" spans="1:14" s="20" customFormat="1">
      <c r="A317" s="253"/>
      <c r="B317" s="231"/>
      <c r="C317" s="32" t="s">
        <v>46</v>
      </c>
      <c r="D317" s="77">
        <v>21020107</v>
      </c>
      <c r="E317" s="135" t="s">
        <v>732</v>
      </c>
      <c r="F317" s="216">
        <v>823659.84</v>
      </c>
      <c r="G317" s="28">
        <v>823659.84</v>
      </c>
      <c r="H317" s="28"/>
      <c r="I317" s="28"/>
      <c r="J317" s="28">
        <v>823659.84</v>
      </c>
      <c r="K317" s="488"/>
      <c r="L317" s="467">
        <v>823659.84</v>
      </c>
      <c r="M317" s="28">
        <f t="shared" si="64"/>
        <v>906025.82400000002</v>
      </c>
      <c r="N317" s="28">
        <f t="shared" si="65"/>
        <v>996628.40639999998</v>
      </c>
    </row>
    <row r="318" spans="1:14" s="20" customFormat="1">
      <c r="A318" s="253"/>
      <c r="B318" s="231"/>
      <c r="C318" s="32" t="s">
        <v>46</v>
      </c>
      <c r="D318" s="77">
        <v>21020110</v>
      </c>
      <c r="E318" s="135" t="s">
        <v>733</v>
      </c>
      <c r="F318" s="216">
        <v>6127178.5999999996</v>
      </c>
      <c r="G318" s="28">
        <v>6127178.5999999996</v>
      </c>
      <c r="H318" s="28"/>
      <c r="I318" s="28"/>
      <c r="J318" s="28">
        <v>6127178.5999999996</v>
      </c>
      <c r="K318" s="488"/>
      <c r="L318" s="467">
        <v>6127178.5999999996</v>
      </c>
      <c r="M318" s="28">
        <f t="shared" si="64"/>
        <v>6739896.46</v>
      </c>
      <c r="N318" s="28">
        <f t="shared" si="65"/>
        <v>7413886.1059999997</v>
      </c>
    </row>
    <row r="319" spans="1:14" s="20" customFormat="1">
      <c r="A319" s="253"/>
      <c r="B319" s="231"/>
      <c r="C319" s="32" t="s">
        <v>46</v>
      </c>
      <c r="D319" s="77">
        <v>21020124</v>
      </c>
      <c r="E319" s="135" t="s">
        <v>734</v>
      </c>
      <c r="F319" s="216">
        <v>2280000</v>
      </c>
      <c r="G319" s="28">
        <v>2280000</v>
      </c>
      <c r="H319" s="28"/>
      <c r="I319" s="28"/>
      <c r="J319" s="28">
        <v>2280000</v>
      </c>
      <c r="K319" s="488"/>
      <c r="L319" s="467">
        <v>2280000</v>
      </c>
      <c r="M319" s="28">
        <f t="shared" si="64"/>
        <v>2508000</v>
      </c>
      <c r="N319" s="28">
        <f t="shared" si="65"/>
        <v>2758800</v>
      </c>
    </row>
    <row r="320" spans="1:14" s="20" customFormat="1">
      <c r="A320" s="253"/>
      <c r="B320" s="231"/>
      <c r="C320" s="30" t="s">
        <v>1836</v>
      </c>
      <c r="D320" s="23"/>
      <c r="E320" s="25"/>
      <c r="F320" s="137">
        <f>SUM(F310:F319)</f>
        <v>82601188.329999998</v>
      </c>
      <c r="G320" s="114">
        <f>SUM(G310:G319)</f>
        <v>82601188.329999998</v>
      </c>
      <c r="H320" s="114">
        <f t="shared" ref="H320:M320" si="66">SUM(H310:H319)</f>
        <v>0</v>
      </c>
      <c r="I320" s="114">
        <f t="shared" si="66"/>
        <v>0</v>
      </c>
      <c r="J320" s="114">
        <f>SUM(J310:J319)</f>
        <v>82601188.329999998</v>
      </c>
      <c r="K320" s="490"/>
      <c r="L320" s="468">
        <f>SUM(L310:L319)</f>
        <v>82601188.329999998</v>
      </c>
      <c r="M320" s="114">
        <f t="shared" si="66"/>
        <v>90861307.163000003</v>
      </c>
      <c r="N320" s="114">
        <f t="shared" si="65"/>
        <v>99947437.879299998</v>
      </c>
    </row>
    <row r="321" spans="1:14" s="20" customFormat="1">
      <c r="A321" s="253"/>
      <c r="B321" s="231"/>
      <c r="C321" s="32" t="s">
        <v>47</v>
      </c>
      <c r="D321" s="77">
        <v>22020105</v>
      </c>
      <c r="E321" s="135" t="s">
        <v>1733</v>
      </c>
      <c r="F321" s="136">
        <v>1350000</v>
      </c>
      <c r="G321" s="28">
        <v>1350000</v>
      </c>
      <c r="H321" s="28"/>
      <c r="I321" s="28"/>
      <c r="J321" s="28">
        <v>1350000</v>
      </c>
      <c r="K321" s="488">
        <f>J321*4.38%</f>
        <v>59130</v>
      </c>
      <c r="L321" s="469">
        <v>1290870</v>
      </c>
      <c r="M321" s="28">
        <v>1230000</v>
      </c>
      <c r="N321" s="28">
        <v>1110000</v>
      </c>
    </row>
    <row r="322" spans="1:14" s="20" customFormat="1">
      <c r="A322" s="253"/>
      <c r="B322" s="231"/>
      <c r="C322" s="32" t="s">
        <v>47</v>
      </c>
      <c r="D322" s="77">
        <v>22020301</v>
      </c>
      <c r="E322" s="135" t="s">
        <v>737</v>
      </c>
      <c r="F322" s="136">
        <v>985250</v>
      </c>
      <c r="G322" s="28">
        <v>985250</v>
      </c>
      <c r="H322" s="28"/>
      <c r="I322" s="28"/>
      <c r="J322" s="28">
        <v>985250</v>
      </c>
      <c r="K322" s="488">
        <f t="shared" ref="K322:K336" si="67">J322*4.38%</f>
        <v>43153.95</v>
      </c>
      <c r="L322" s="469">
        <v>942096.05</v>
      </c>
      <c r="M322" s="28">
        <v>985250</v>
      </c>
      <c r="N322" s="28">
        <v>985250</v>
      </c>
    </row>
    <row r="323" spans="1:14" s="20" customFormat="1">
      <c r="A323" s="253"/>
      <c r="B323" s="231"/>
      <c r="C323" s="32" t="s">
        <v>47</v>
      </c>
      <c r="D323" s="77">
        <v>22020305</v>
      </c>
      <c r="E323" s="135" t="s">
        <v>755</v>
      </c>
      <c r="F323" s="136">
        <v>1590600</v>
      </c>
      <c r="G323" s="28">
        <v>1590600</v>
      </c>
      <c r="H323" s="28"/>
      <c r="I323" s="28"/>
      <c r="J323" s="28">
        <v>1590600</v>
      </c>
      <c r="K323" s="488">
        <f t="shared" si="67"/>
        <v>69668.28</v>
      </c>
      <c r="L323" s="469">
        <v>1520931.72</v>
      </c>
      <c r="M323" s="28">
        <v>1590600</v>
      </c>
      <c r="N323" s="28">
        <v>1590600</v>
      </c>
    </row>
    <row r="324" spans="1:14" s="20" customFormat="1">
      <c r="A324" s="253"/>
      <c r="B324" s="231"/>
      <c r="C324" s="32" t="s">
        <v>47</v>
      </c>
      <c r="D324" s="77">
        <v>22020307</v>
      </c>
      <c r="E324" s="135" t="s">
        <v>822</v>
      </c>
      <c r="F324" s="136">
        <v>4500000</v>
      </c>
      <c r="G324" s="28">
        <v>4500000</v>
      </c>
      <c r="H324" s="28"/>
      <c r="I324" s="28"/>
      <c r="J324" s="28">
        <v>4500000</v>
      </c>
      <c r="K324" s="488">
        <f t="shared" si="67"/>
        <v>197100</v>
      </c>
      <c r="L324" s="469">
        <v>4302900</v>
      </c>
      <c r="M324" s="28">
        <v>4500000</v>
      </c>
      <c r="N324" s="28">
        <v>4500000</v>
      </c>
    </row>
    <row r="325" spans="1:14" s="20" customFormat="1">
      <c r="A325" s="253"/>
      <c r="B325" s="231"/>
      <c r="C325" s="32" t="s">
        <v>47</v>
      </c>
      <c r="D325" s="77">
        <v>22020308</v>
      </c>
      <c r="E325" s="135" t="s">
        <v>756</v>
      </c>
      <c r="F325" s="136">
        <v>58000000</v>
      </c>
      <c r="G325" s="28">
        <v>58000000</v>
      </c>
      <c r="H325" s="28"/>
      <c r="I325" s="28"/>
      <c r="J325" s="28">
        <v>58000000</v>
      </c>
      <c r="K325" s="488">
        <f t="shared" si="67"/>
        <v>2540400</v>
      </c>
      <c r="L325" s="469">
        <v>55459600</v>
      </c>
      <c r="M325" s="28">
        <v>97965000</v>
      </c>
      <c r="N325" s="28">
        <v>97965000</v>
      </c>
    </row>
    <row r="326" spans="1:14" s="20" customFormat="1">
      <c r="A326" s="253"/>
      <c r="B326" s="231"/>
      <c r="C326" s="32" t="s">
        <v>47</v>
      </c>
      <c r="D326" s="77">
        <v>22020309</v>
      </c>
      <c r="E326" s="135" t="s">
        <v>739</v>
      </c>
      <c r="F326" s="136">
        <v>7376000</v>
      </c>
      <c r="G326" s="28">
        <v>7376000</v>
      </c>
      <c r="H326" s="28"/>
      <c r="I326" s="28"/>
      <c r="J326" s="28">
        <v>7376000</v>
      </c>
      <c r="K326" s="488">
        <f t="shared" si="67"/>
        <v>323068.79999999999</v>
      </c>
      <c r="L326" s="469">
        <v>7052931.2000000002</v>
      </c>
      <c r="M326" s="28">
        <v>7376000</v>
      </c>
      <c r="N326" s="28">
        <v>7376000</v>
      </c>
    </row>
    <row r="327" spans="1:14" s="20" customFormat="1">
      <c r="A327" s="253"/>
      <c r="B327" s="231"/>
      <c r="C327" s="32" t="s">
        <v>47</v>
      </c>
      <c r="D327" s="77">
        <v>22020311</v>
      </c>
      <c r="E327" s="135" t="s">
        <v>823</v>
      </c>
      <c r="F327" s="136">
        <v>47000000</v>
      </c>
      <c r="G327" s="28">
        <v>47000000</v>
      </c>
      <c r="H327" s="28"/>
      <c r="I327" s="28"/>
      <c r="J327" s="28">
        <v>47000000</v>
      </c>
      <c r="K327" s="488">
        <f t="shared" si="67"/>
        <v>2058600</v>
      </c>
      <c r="L327" s="469">
        <v>44941400</v>
      </c>
      <c r="M327" s="28">
        <v>85500000</v>
      </c>
      <c r="N327" s="28">
        <v>85500000</v>
      </c>
    </row>
    <row r="328" spans="1:14" s="20" customFormat="1">
      <c r="A328" s="253"/>
      <c r="B328" s="231"/>
      <c r="C328" s="32" t="s">
        <v>47</v>
      </c>
      <c r="D328" s="77">
        <v>22020312</v>
      </c>
      <c r="E328" s="135" t="s">
        <v>797</v>
      </c>
      <c r="F328" s="136">
        <v>9000000</v>
      </c>
      <c r="G328" s="28">
        <v>9000000</v>
      </c>
      <c r="H328" s="28"/>
      <c r="I328" s="28"/>
      <c r="J328" s="28">
        <v>9000000</v>
      </c>
      <c r="K328" s="488">
        <f t="shared" si="67"/>
        <v>394200</v>
      </c>
      <c r="L328" s="469">
        <v>8605800</v>
      </c>
      <c r="M328" s="28">
        <v>20045000</v>
      </c>
      <c r="N328" s="28">
        <v>20045000</v>
      </c>
    </row>
    <row r="329" spans="1:14" s="20" customFormat="1">
      <c r="A329" s="253"/>
      <c r="B329" s="231"/>
      <c r="C329" s="32" t="s">
        <v>47</v>
      </c>
      <c r="D329" s="77">
        <v>22020315</v>
      </c>
      <c r="E329" s="135" t="s">
        <v>740</v>
      </c>
      <c r="F329" s="136">
        <v>1646000</v>
      </c>
      <c r="G329" s="28">
        <v>1646000</v>
      </c>
      <c r="H329" s="28"/>
      <c r="I329" s="28"/>
      <c r="J329" s="28">
        <v>1646000</v>
      </c>
      <c r="K329" s="488">
        <f t="shared" si="67"/>
        <v>72094.8</v>
      </c>
      <c r="L329" s="469">
        <v>1573905.2000000002</v>
      </c>
      <c r="M329" s="28">
        <v>1646000</v>
      </c>
      <c r="N329" s="28">
        <v>1646000</v>
      </c>
    </row>
    <row r="330" spans="1:14" s="20" customFormat="1">
      <c r="A330" s="253"/>
      <c r="B330" s="231"/>
      <c r="C330" s="32" t="s">
        <v>47</v>
      </c>
      <c r="D330" s="77">
        <v>22020401</v>
      </c>
      <c r="E330" s="135" t="s">
        <v>1728</v>
      </c>
      <c r="F330" s="136">
        <v>12716000</v>
      </c>
      <c r="G330" s="28">
        <v>12716000</v>
      </c>
      <c r="H330" s="28"/>
      <c r="I330" s="28"/>
      <c r="J330" s="28">
        <v>12716000</v>
      </c>
      <c r="K330" s="488">
        <f t="shared" si="67"/>
        <v>556960.79999999993</v>
      </c>
      <c r="L330" s="469">
        <v>12159039.200000001</v>
      </c>
      <c r="M330" s="28">
        <v>12716000</v>
      </c>
      <c r="N330" s="28">
        <v>12716000</v>
      </c>
    </row>
    <row r="331" spans="1:14" s="20" customFormat="1">
      <c r="A331" s="253"/>
      <c r="B331" s="231"/>
      <c r="C331" s="32" t="s">
        <v>47</v>
      </c>
      <c r="D331" s="77">
        <v>22020402</v>
      </c>
      <c r="E331" s="135" t="s">
        <v>757</v>
      </c>
      <c r="F331" s="136">
        <v>356000</v>
      </c>
      <c r="G331" s="28">
        <v>356000</v>
      </c>
      <c r="H331" s="28"/>
      <c r="I331" s="28"/>
      <c r="J331" s="28">
        <v>356000</v>
      </c>
      <c r="K331" s="488">
        <f t="shared" si="67"/>
        <v>15592.8</v>
      </c>
      <c r="L331" s="469">
        <v>340407.2</v>
      </c>
      <c r="M331" s="28">
        <v>356000</v>
      </c>
      <c r="N331" s="28">
        <v>356000</v>
      </c>
    </row>
    <row r="332" spans="1:14" s="20" customFormat="1">
      <c r="A332" s="253"/>
      <c r="B332" s="231"/>
      <c r="C332" s="32" t="s">
        <v>47</v>
      </c>
      <c r="D332" s="77">
        <v>22020405</v>
      </c>
      <c r="E332" s="135" t="s">
        <v>743</v>
      </c>
      <c r="F332" s="136">
        <v>242720</v>
      </c>
      <c r="G332" s="28">
        <v>242720</v>
      </c>
      <c r="H332" s="28"/>
      <c r="I332" s="28"/>
      <c r="J332" s="28">
        <v>242720</v>
      </c>
      <c r="K332" s="488">
        <f t="shared" si="67"/>
        <v>10631.136</v>
      </c>
      <c r="L332" s="469">
        <v>232088.864</v>
      </c>
      <c r="M332" s="28">
        <v>242720</v>
      </c>
      <c r="N332" s="28">
        <v>242720</v>
      </c>
    </row>
    <row r="333" spans="1:14" s="20" customFormat="1">
      <c r="A333" s="253"/>
      <c r="B333" s="231"/>
      <c r="C333" s="32" t="s">
        <v>47</v>
      </c>
      <c r="D333" s="77">
        <v>22020709</v>
      </c>
      <c r="E333" s="135" t="s">
        <v>771</v>
      </c>
      <c r="F333" s="136">
        <v>500000</v>
      </c>
      <c r="G333" s="28">
        <v>500000</v>
      </c>
      <c r="H333" s="28"/>
      <c r="I333" s="28"/>
      <c r="J333" s="28">
        <v>500000</v>
      </c>
      <c r="K333" s="488">
        <f t="shared" si="67"/>
        <v>21900</v>
      </c>
      <c r="L333" s="469">
        <v>478100</v>
      </c>
      <c r="M333" s="28">
        <v>500000</v>
      </c>
      <c r="N333" s="28">
        <v>500000</v>
      </c>
    </row>
    <row r="334" spans="1:14" s="20" customFormat="1">
      <c r="A334" s="253"/>
      <c r="B334" s="231"/>
      <c r="C334" s="32" t="s">
        <v>47</v>
      </c>
      <c r="D334" s="77">
        <v>22020801</v>
      </c>
      <c r="E334" s="135" t="s">
        <v>747</v>
      </c>
      <c r="F334" s="136">
        <v>532000</v>
      </c>
      <c r="G334" s="28">
        <v>532000</v>
      </c>
      <c r="H334" s="28"/>
      <c r="I334" s="28"/>
      <c r="J334" s="28">
        <v>532000</v>
      </c>
      <c r="K334" s="488">
        <f t="shared" si="67"/>
        <v>23301.599999999999</v>
      </c>
      <c r="L334" s="469">
        <v>508698.4</v>
      </c>
      <c r="M334" s="28">
        <v>503000</v>
      </c>
      <c r="N334" s="28">
        <v>474000</v>
      </c>
    </row>
    <row r="335" spans="1:14" s="20" customFormat="1">
      <c r="A335" s="253"/>
      <c r="B335" s="231"/>
      <c r="C335" s="32" t="s">
        <v>47</v>
      </c>
      <c r="D335" s="77">
        <v>22020803</v>
      </c>
      <c r="E335" s="135" t="s">
        <v>748</v>
      </c>
      <c r="F335" s="136">
        <v>1500000</v>
      </c>
      <c r="G335" s="28">
        <v>1500000</v>
      </c>
      <c r="H335" s="28"/>
      <c r="I335" s="28"/>
      <c r="J335" s="28">
        <v>1500000</v>
      </c>
      <c r="K335" s="488">
        <f t="shared" si="67"/>
        <v>65700</v>
      </c>
      <c r="L335" s="469">
        <v>1434300</v>
      </c>
      <c r="M335" s="28">
        <v>1500000</v>
      </c>
      <c r="N335" s="28">
        <v>1500000</v>
      </c>
    </row>
    <row r="336" spans="1:14" s="20" customFormat="1">
      <c r="A336" s="253"/>
      <c r="B336" s="231"/>
      <c r="C336" s="32" t="s">
        <v>47</v>
      </c>
      <c r="D336" s="77">
        <v>22021003</v>
      </c>
      <c r="E336" s="135" t="s">
        <v>760</v>
      </c>
      <c r="F336" s="136">
        <f>8918900-2000000</f>
        <v>6918900</v>
      </c>
      <c r="G336" s="28">
        <f>8918900-2000000</f>
        <v>6918900</v>
      </c>
      <c r="H336" s="28"/>
      <c r="I336" s="28"/>
      <c r="J336" s="28">
        <v>6918900</v>
      </c>
      <c r="K336" s="488">
        <f t="shared" si="67"/>
        <v>303047.82</v>
      </c>
      <c r="L336" s="469">
        <v>6615852.1800000006</v>
      </c>
      <c r="M336" s="28">
        <v>8918900</v>
      </c>
      <c r="N336" s="28">
        <v>8918900</v>
      </c>
    </row>
    <row r="337" spans="1:14" s="20" customFormat="1">
      <c r="A337" s="238"/>
      <c r="B337" s="231"/>
      <c r="C337" s="30" t="s">
        <v>1839</v>
      </c>
      <c r="D337" s="23"/>
      <c r="E337" s="25"/>
      <c r="F337" s="137">
        <f>SUM(F321:F336)</f>
        <v>154213470</v>
      </c>
      <c r="G337" s="114">
        <f>SUM(G321:G336)</f>
        <v>154213470</v>
      </c>
      <c r="H337" s="114">
        <f t="shared" ref="H337:I337" si="68">SUM(H321:H336)</f>
        <v>0</v>
      </c>
      <c r="I337" s="114">
        <f t="shared" si="68"/>
        <v>0</v>
      </c>
      <c r="J337" s="114">
        <f>SUM(J321:J336)</f>
        <v>154213470</v>
      </c>
      <c r="K337" s="490">
        <f>SUM(K321:K336)</f>
        <v>6754549.9859999986</v>
      </c>
      <c r="L337" s="468">
        <f>SUM(L321:L336)</f>
        <v>147458920.014</v>
      </c>
      <c r="M337" s="114">
        <f>SUM(M321:M336)</f>
        <v>245574470</v>
      </c>
      <c r="N337" s="114">
        <f>SUM(N321:N336)</f>
        <v>245425470</v>
      </c>
    </row>
    <row r="338" spans="1:14" s="66" customFormat="1" ht="30">
      <c r="A338" s="238" t="s">
        <v>821</v>
      </c>
      <c r="B338" s="231" t="s">
        <v>1849</v>
      </c>
      <c r="C338" s="30"/>
      <c r="D338" s="23"/>
      <c r="E338" s="25"/>
      <c r="F338" s="137">
        <f>F337+F320</f>
        <v>236814658.32999998</v>
      </c>
      <c r="G338" s="114">
        <f>G337+G320</f>
        <v>236814658.32999998</v>
      </c>
      <c r="H338" s="114">
        <f t="shared" ref="H338:I338" si="69">H337+H320</f>
        <v>0</v>
      </c>
      <c r="I338" s="114">
        <f t="shared" si="69"/>
        <v>0</v>
      </c>
      <c r="J338" s="114">
        <f>J337+J320</f>
        <v>236814658.32999998</v>
      </c>
      <c r="K338" s="490"/>
      <c r="L338" s="468">
        <f>L337+L320</f>
        <v>230060108.34399998</v>
      </c>
      <c r="M338" s="114">
        <f>M337+M320</f>
        <v>336435777.16299999</v>
      </c>
      <c r="N338" s="114">
        <f>N337+N320</f>
        <v>345372907.8793</v>
      </c>
    </row>
    <row r="339" spans="1:14" s="20" customFormat="1" ht="21">
      <c r="A339" s="252"/>
      <c r="B339" s="443"/>
      <c r="C339" s="228"/>
      <c r="D339" s="229"/>
      <c r="E339" s="230"/>
      <c r="F339" s="215"/>
      <c r="G339" s="296"/>
      <c r="H339" s="296"/>
      <c r="I339" s="296"/>
      <c r="J339" s="28"/>
      <c r="K339" s="488"/>
      <c r="L339" s="468"/>
      <c r="M339" s="296"/>
      <c r="N339" s="296"/>
    </row>
    <row r="340" spans="1:14" s="20" customFormat="1" ht="30">
      <c r="A340" s="238" t="s">
        <v>824</v>
      </c>
      <c r="B340" s="231" t="s">
        <v>825</v>
      </c>
      <c r="C340" s="32" t="s">
        <v>46</v>
      </c>
      <c r="D340" s="77">
        <v>21010101</v>
      </c>
      <c r="E340" s="135" t="s">
        <v>725</v>
      </c>
      <c r="F340" s="136">
        <v>12343727</v>
      </c>
      <c r="G340" s="28">
        <v>12343727</v>
      </c>
      <c r="H340" s="28"/>
      <c r="I340" s="28"/>
      <c r="J340" s="28">
        <v>12343727</v>
      </c>
      <c r="K340" s="488"/>
      <c r="L340" s="467">
        <v>12343727</v>
      </c>
      <c r="M340" s="28">
        <v>13578100</v>
      </c>
      <c r="N340" s="28">
        <v>14935910</v>
      </c>
    </row>
    <row r="341" spans="1:14" s="20" customFormat="1">
      <c r="A341" s="253"/>
      <c r="B341" s="231"/>
      <c r="C341" s="32" t="s">
        <v>46</v>
      </c>
      <c r="D341" s="77">
        <v>21020101</v>
      </c>
      <c r="E341" s="135" t="s">
        <v>726</v>
      </c>
      <c r="F341" s="136">
        <v>3210935</v>
      </c>
      <c r="G341" s="28">
        <v>3210935</v>
      </c>
      <c r="H341" s="28"/>
      <c r="I341" s="28"/>
      <c r="J341" s="28">
        <v>3210935</v>
      </c>
      <c r="K341" s="488"/>
      <c r="L341" s="467">
        <v>3210935</v>
      </c>
      <c r="M341" s="28">
        <v>3532029</v>
      </c>
      <c r="N341" s="28">
        <v>3885232</v>
      </c>
    </row>
    <row r="342" spans="1:14" s="20" customFormat="1">
      <c r="A342" s="253"/>
      <c r="B342" s="231"/>
      <c r="C342" s="32" t="s">
        <v>46</v>
      </c>
      <c r="D342" s="77">
        <v>21020102</v>
      </c>
      <c r="E342" s="135" t="s">
        <v>727</v>
      </c>
      <c r="F342" s="136">
        <v>1264371</v>
      </c>
      <c r="G342" s="28">
        <v>1264371</v>
      </c>
      <c r="H342" s="28"/>
      <c r="I342" s="28"/>
      <c r="J342" s="28">
        <v>1264371</v>
      </c>
      <c r="K342" s="488"/>
      <c r="L342" s="467">
        <v>1264371</v>
      </c>
      <c r="M342" s="28">
        <v>1390808</v>
      </c>
      <c r="N342" s="28">
        <v>1529889</v>
      </c>
    </row>
    <row r="343" spans="1:14" s="20" customFormat="1">
      <c r="A343" s="253"/>
      <c r="B343" s="231"/>
      <c r="C343" s="32" t="s">
        <v>46</v>
      </c>
      <c r="D343" s="77">
        <v>21020103</v>
      </c>
      <c r="E343" s="135" t="s">
        <v>728</v>
      </c>
      <c r="F343" s="136">
        <v>1642184</v>
      </c>
      <c r="G343" s="28">
        <v>1642184</v>
      </c>
      <c r="H343" s="28"/>
      <c r="I343" s="28"/>
      <c r="J343" s="28">
        <v>1642184</v>
      </c>
      <c r="K343" s="488"/>
      <c r="L343" s="467">
        <v>1642184</v>
      </c>
      <c r="M343" s="28">
        <v>1806402</v>
      </c>
      <c r="N343" s="28">
        <v>1987042</v>
      </c>
    </row>
    <row r="344" spans="1:14" s="20" customFormat="1">
      <c r="A344" s="253"/>
      <c r="B344" s="231"/>
      <c r="C344" s="32" t="s">
        <v>46</v>
      </c>
      <c r="D344" s="77">
        <v>21020104</v>
      </c>
      <c r="E344" s="135" t="s">
        <v>729</v>
      </c>
      <c r="F344" s="136">
        <v>642184</v>
      </c>
      <c r="G344" s="28">
        <v>642184</v>
      </c>
      <c r="H344" s="28"/>
      <c r="I344" s="28"/>
      <c r="J344" s="28">
        <v>642184</v>
      </c>
      <c r="K344" s="488"/>
      <c r="L344" s="467">
        <v>642184</v>
      </c>
      <c r="M344" s="28">
        <v>706402</v>
      </c>
      <c r="N344" s="28">
        <v>777042</v>
      </c>
    </row>
    <row r="345" spans="1:14" s="20" customFormat="1">
      <c r="A345" s="253"/>
      <c r="B345" s="231"/>
      <c r="C345" s="32" t="s">
        <v>46</v>
      </c>
      <c r="D345" s="77">
        <v>21020105</v>
      </c>
      <c r="E345" s="135" t="s">
        <v>730</v>
      </c>
      <c r="F345" s="136">
        <v>131957</v>
      </c>
      <c r="G345" s="28">
        <v>131957</v>
      </c>
      <c r="H345" s="28"/>
      <c r="I345" s="28"/>
      <c r="J345" s="28">
        <v>131957</v>
      </c>
      <c r="K345" s="488"/>
      <c r="L345" s="467">
        <v>131957</v>
      </c>
      <c r="M345" s="28">
        <v>145153</v>
      </c>
      <c r="N345" s="28">
        <v>159669</v>
      </c>
    </row>
    <row r="346" spans="1:14" s="20" customFormat="1">
      <c r="A346" s="253"/>
      <c r="B346" s="231"/>
      <c r="C346" s="32" t="s">
        <v>46</v>
      </c>
      <c r="D346" s="77">
        <v>21020106</v>
      </c>
      <c r="E346" s="135" t="s">
        <v>731</v>
      </c>
      <c r="F346" s="136">
        <v>1302550</v>
      </c>
      <c r="G346" s="28">
        <v>1302550</v>
      </c>
      <c r="H346" s="28"/>
      <c r="I346" s="28"/>
      <c r="J346" s="28">
        <v>1302550</v>
      </c>
      <c r="K346" s="488"/>
      <c r="L346" s="467">
        <v>1302550</v>
      </c>
      <c r="M346" s="28">
        <v>143281</v>
      </c>
      <c r="N346" s="28">
        <v>157609</v>
      </c>
    </row>
    <row r="347" spans="1:14" s="20" customFormat="1">
      <c r="A347" s="253"/>
      <c r="B347" s="231"/>
      <c r="C347" s="32" t="s">
        <v>46</v>
      </c>
      <c r="D347" s="77">
        <v>21020107</v>
      </c>
      <c r="E347" s="135" t="s">
        <v>732</v>
      </c>
      <c r="F347" s="136">
        <v>1296000</v>
      </c>
      <c r="G347" s="28">
        <v>1296000</v>
      </c>
      <c r="H347" s="28"/>
      <c r="I347" s="28"/>
      <c r="J347" s="28">
        <v>1296000</v>
      </c>
      <c r="K347" s="488"/>
      <c r="L347" s="467">
        <v>1296000</v>
      </c>
      <c r="M347" s="28">
        <v>1425600</v>
      </c>
      <c r="N347" s="28">
        <v>1568160</v>
      </c>
    </row>
    <row r="348" spans="1:14" s="20" customFormat="1">
      <c r="A348" s="253"/>
      <c r="B348" s="231"/>
      <c r="C348" s="32" t="s">
        <v>46</v>
      </c>
      <c r="D348" s="77">
        <v>21020125</v>
      </c>
      <c r="E348" s="135" t="s">
        <v>826</v>
      </c>
      <c r="F348" s="136">
        <v>6421873</v>
      </c>
      <c r="G348" s="28">
        <v>6421873</v>
      </c>
      <c r="H348" s="28"/>
      <c r="I348" s="28"/>
      <c r="J348" s="28">
        <v>6421873</v>
      </c>
      <c r="K348" s="488"/>
      <c r="L348" s="467">
        <v>6421873</v>
      </c>
      <c r="M348" s="28">
        <v>7064060</v>
      </c>
      <c r="N348" s="28">
        <v>7770466</v>
      </c>
    </row>
    <row r="349" spans="1:14" s="20" customFormat="1">
      <c r="A349" s="253"/>
      <c r="B349" s="231"/>
      <c r="C349" s="30" t="s">
        <v>1836</v>
      </c>
      <c r="D349" s="23"/>
      <c r="E349" s="25"/>
      <c r="F349" s="137">
        <f>SUM(F340:F348)</f>
        <v>28255781</v>
      </c>
      <c r="G349" s="114">
        <f>SUM(G340:G348)</f>
        <v>28255781</v>
      </c>
      <c r="H349" s="114">
        <f t="shared" ref="H349:I349" si="70">SUM(H340:H348)</f>
        <v>0</v>
      </c>
      <c r="I349" s="114">
        <f t="shared" si="70"/>
        <v>0</v>
      </c>
      <c r="J349" s="114">
        <f>SUM(J340:J348)</f>
        <v>28255781</v>
      </c>
      <c r="K349" s="490"/>
      <c r="L349" s="468">
        <f>SUM(L340:L348)</f>
        <v>28255781</v>
      </c>
      <c r="M349" s="114">
        <f>SUM(M340:M348)</f>
        <v>29791835</v>
      </c>
      <c r="N349" s="114">
        <f>SUM(N340:N348)</f>
        <v>32771019</v>
      </c>
    </row>
    <row r="350" spans="1:14" s="20" customFormat="1">
      <c r="A350" s="253"/>
      <c r="B350" s="231"/>
      <c r="C350" s="32" t="s">
        <v>47</v>
      </c>
      <c r="D350" s="77">
        <v>22020203</v>
      </c>
      <c r="E350" s="135" t="s">
        <v>779</v>
      </c>
      <c r="F350" s="136">
        <v>1200000</v>
      </c>
      <c r="G350" s="28">
        <v>1200000</v>
      </c>
      <c r="H350" s="28"/>
      <c r="I350" s="28"/>
      <c r="J350" s="28">
        <v>1200000</v>
      </c>
      <c r="K350" s="488">
        <f>J350*4.38%</f>
        <v>52560</v>
      </c>
      <c r="L350" s="469">
        <v>1147440</v>
      </c>
      <c r="M350" s="28">
        <v>1200000</v>
      </c>
      <c r="N350" s="28">
        <f>M350*10%+M350</f>
        <v>1320000</v>
      </c>
    </row>
    <row r="351" spans="1:14" s="20" customFormat="1">
      <c r="A351" s="253"/>
      <c r="B351" s="231"/>
      <c r="C351" s="32" t="s">
        <v>47</v>
      </c>
      <c r="D351" s="77">
        <v>22020301</v>
      </c>
      <c r="E351" s="135" t="s">
        <v>737</v>
      </c>
      <c r="F351" s="136">
        <v>298000</v>
      </c>
      <c r="G351" s="28">
        <v>298000</v>
      </c>
      <c r="H351" s="28"/>
      <c r="I351" s="28"/>
      <c r="J351" s="28">
        <v>298000</v>
      </c>
      <c r="K351" s="488">
        <f t="shared" ref="K351:K358" si="71">J351*4.38%</f>
        <v>13052.4</v>
      </c>
      <c r="L351" s="469">
        <v>284947.60000000003</v>
      </c>
      <c r="M351" s="28">
        <v>298000</v>
      </c>
      <c r="N351" s="28">
        <f t="shared" ref="N351:N358" si="72">M351*10%+M351</f>
        <v>327800</v>
      </c>
    </row>
    <row r="352" spans="1:14" s="20" customFormat="1">
      <c r="A352" s="253"/>
      <c r="B352" s="231"/>
      <c r="C352" s="32" t="s">
        <v>47</v>
      </c>
      <c r="D352" s="77">
        <v>22020315</v>
      </c>
      <c r="E352" s="135" t="s">
        <v>740</v>
      </c>
      <c r="F352" s="136">
        <v>3235000</v>
      </c>
      <c r="G352" s="28">
        <v>3235000</v>
      </c>
      <c r="H352" s="28"/>
      <c r="I352" s="28"/>
      <c r="J352" s="28">
        <v>3235000</v>
      </c>
      <c r="K352" s="488">
        <f t="shared" si="71"/>
        <v>141693</v>
      </c>
      <c r="L352" s="469">
        <v>3093307</v>
      </c>
      <c r="M352" s="28">
        <v>3235000</v>
      </c>
      <c r="N352" s="28">
        <f t="shared" si="72"/>
        <v>3558500</v>
      </c>
    </row>
    <row r="353" spans="1:14" s="20" customFormat="1">
      <c r="A353" s="253"/>
      <c r="B353" s="231"/>
      <c r="C353" s="32" t="s">
        <v>47</v>
      </c>
      <c r="D353" s="77">
        <v>22020401</v>
      </c>
      <c r="E353" s="135" t="s">
        <v>741</v>
      </c>
      <c r="F353" s="136">
        <v>4048800</v>
      </c>
      <c r="G353" s="28">
        <v>2048800</v>
      </c>
      <c r="H353" s="28"/>
      <c r="I353" s="28"/>
      <c r="J353" s="28">
        <v>2048800</v>
      </c>
      <c r="K353" s="488">
        <f t="shared" si="71"/>
        <v>89737.44</v>
      </c>
      <c r="L353" s="469">
        <v>1959062.56</v>
      </c>
      <c r="M353" s="28">
        <v>4048800</v>
      </c>
      <c r="N353" s="28">
        <f t="shared" si="72"/>
        <v>4453680</v>
      </c>
    </row>
    <row r="354" spans="1:14" s="20" customFormat="1">
      <c r="A354" s="253"/>
      <c r="B354" s="231"/>
      <c r="C354" s="32" t="s">
        <v>47</v>
      </c>
      <c r="D354" s="77">
        <v>22020402</v>
      </c>
      <c r="E354" s="135" t="s">
        <v>757</v>
      </c>
      <c r="F354" s="136">
        <v>49200</v>
      </c>
      <c r="G354" s="28">
        <v>49200</v>
      </c>
      <c r="H354" s="28"/>
      <c r="I354" s="28"/>
      <c r="J354" s="28">
        <v>49200</v>
      </c>
      <c r="K354" s="488">
        <f t="shared" si="71"/>
        <v>2154.96</v>
      </c>
      <c r="L354" s="469">
        <v>47045.04</v>
      </c>
      <c r="M354" s="28">
        <v>49200</v>
      </c>
      <c r="N354" s="28">
        <f t="shared" si="72"/>
        <v>54120</v>
      </c>
    </row>
    <row r="355" spans="1:14" s="20" customFormat="1">
      <c r="A355" s="253"/>
      <c r="B355" s="231"/>
      <c r="C355" s="32" t="s">
        <v>47</v>
      </c>
      <c r="D355" s="77">
        <v>22020709</v>
      </c>
      <c r="E355" s="135" t="s">
        <v>771</v>
      </c>
      <c r="F355" s="136">
        <v>1500000</v>
      </c>
      <c r="G355" s="28">
        <v>350000</v>
      </c>
      <c r="H355" s="28"/>
      <c r="I355" s="28"/>
      <c r="J355" s="28">
        <v>350000</v>
      </c>
      <c r="K355" s="488">
        <f t="shared" si="71"/>
        <v>15330</v>
      </c>
      <c r="L355" s="469">
        <v>334670</v>
      </c>
      <c r="M355" s="28">
        <v>1500000</v>
      </c>
      <c r="N355" s="28">
        <f t="shared" si="72"/>
        <v>1650000</v>
      </c>
    </row>
    <row r="356" spans="1:14" s="20" customFormat="1">
      <c r="A356" s="253"/>
      <c r="B356" s="231"/>
      <c r="C356" s="32" t="s">
        <v>47</v>
      </c>
      <c r="D356" s="77">
        <v>22020901</v>
      </c>
      <c r="E356" s="135" t="s">
        <v>749</v>
      </c>
      <c r="F356" s="136">
        <v>6400</v>
      </c>
      <c r="G356" s="28">
        <v>6400</v>
      </c>
      <c r="H356" s="28"/>
      <c r="I356" s="28"/>
      <c r="J356" s="28">
        <v>6400</v>
      </c>
      <c r="K356" s="488">
        <f t="shared" si="71"/>
        <v>280.32</v>
      </c>
      <c r="L356" s="469">
        <v>6119.68</v>
      </c>
      <c r="M356" s="28">
        <v>6400</v>
      </c>
      <c r="N356" s="28">
        <f t="shared" si="72"/>
        <v>7040</v>
      </c>
    </row>
    <row r="357" spans="1:14" s="20" customFormat="1">
      <c r="A357" s="253"/>
      <c r="B357" s="231"/>
      <c r="C357" s="32" t="s">
        <v>47</v>
      </c>
      <c r="D357" s="77">
        <v>22021001</v>
      </c>
      <c r="E357" s="135" t="s">
        <v>772</v>
      </c>
      <c r="F357" s="136">
        <v>1900000</v>
      </c>
      <c r="G357" s="28">
        <v>900000</v>
      </c>
      <c r="H357" s="28"/>
      <c r="I357" s="28"/>
      <c r="J357" s="28">
        <v>900000</v>
      </c>
      <c r="K357" s="488">
        <f t="shared" si="71"/>
        <v>39420</v>
      </c>
      <c r="L357" s="469">
        <v>860580</v>
      </c>
      <c r="M357" s="28">
        <v>1900000</v>
      </c>
      <c r="N357" s="28">
        <f t="shared" si="72"/>
        <v>2090000</v>
      </c>
    </row>
    <row r="358" spans="1:14" s="20" customFormat="1">
      <c r="A358" s="253"/>
      <c r="B358" s="231"/>
      <c r="C358" s="32" t="s">
        <v>47</v>
      </c>
      <c r="D358" s="77">
        <v>22021003</v>
      </c>
      <c r="E358" s="135" t="s">
        <v>760</v>
      </c>
      <c r="F358" s="136">
        <v>1320000</v>
      </c>
      <c r="G358" s="28">
        <v>1320000</v>
      </c>
      <c r="H358" s="28"/>
      <c r="I358" s="28"/>
      <c r="J358" s="28">
        <v>1320000</v>
      </c>
      <c r="K358" s="488">
        <f t="shared" si="71"/>
        <v>57816</v>
      </c>
      <c r="L358" s="469">
        <v>1262184</v>
      </c>
      <c r="M358" s="28">
        <v>1320000</v>
      </c>
      <c r="N358" s="28">
        <f t="shared" si="72"/>
        <v>1452000</v>
      </c>
    </row>
    <row r="359" spans="1:14" s="20" customFormat="1">
      <c r="A359" s="238"/>
      <c r="B359" s="231"/>
      <c r="C359" s="30" t="s">
        <v>1837</v>
      </c>
      <c r="D359" s="23"/>
      <c r="E359" s="25"/>
      <c r="F359" s="137">
        <f>SUM(F350:F358)</f>
        <v>13557400</v>
      </c>
      <c r="G359" s="114">
        <f>SUM(G350:G358)</f>
        <v>9407400</v>
      </c>
      <c r="H359" s="114">
        <f t="shared" ref="H359:I359" si="73">SUM(H350:H358)</f>
        <v>0</v>
      </c>
      <c r="I359" s="114">
        <f t="shared" si="73"/>
        <v>0</v>
      </c>
      <c r="J359" s="114">
        <f t="shared" ref="J359:N359" si="74">SUM(J350:J358)</f>
        <v>9407400</v>
      </c>
      <c r="K359" s="490">
        <f t="shared" si="74"/>
        <v>412044.12</v>
      </c>
      <c r="L359" s="468">
        <f t="shared" si="74"/>
        <v>8995355.879999999</v>
      </c>
      <c r="M359" s="114">
        <f t="shared" si="74"/>
        <v>13557400</v>
      </c>
      <c r="N359" s="114">
        <f t="shared" si="74"/>
        <v>14913140</v>
      </c>
    </row>
    <row r="360" spans="1:14" s="66" customFormat="1" ht="30">
      <c r="A360" s="238" t="s">
        <v>824</v>
      </c>
      <c r="B360" s="231" t="s">
        <v>1850</v>
      </c>
      <c r="C360" s="30"/>
      <c r="D360" s="23"/>
      <c r="E360" s="25"/>
      <c r="F360" s="137">
        <f>F359+F349</f>
        <v>41813181</v>
      </c>
      <c r="G360" s="114">
        <f>G359+G349</f>
        <v>37663181</v>
      </c>
      <c r="H360" s="114">
        <f t="shared" ref="H360:I360" si="75">H359+H349</f>
        <v>0</v>
      </c>
      <c r="I360" s="114">
        <f t="shared" si="75"/>
        <v>0</v>
      </c>
      <c r="J360" s="114">
        <f>J359+J349</f>
        <v>37663181</v>
      </c>
      <c r="K360" s="490"/>
      <c r="L360" s="468">
        <f>L359+L349</f>
        <v>37251136.879999995</v>
      </c>
      <c r="M360" s="114">
        <f>M359+M349</f>
        <v>43349235</v>
      </c>
      <c r="N360" s="114">
        <f>N359+N349</f>
        <v>47684159</v>
      </c>
    </row>
    <row r="361" spans="1:14" s="20" customFormat="1" ht="21">
      <c r="A361" s="252"/>
      <c r="B361" s="443"/>
      <c r="C361" s="228"/>
      <c r="D361" s="229"/>
      <c r="E361" s="230"/>
      <c r="F361" s="215"/>
      <c r="G361" s="296"/>
      <c r="H361" s="296"/>
      <c r="I361" s="296"/>
      <c r="J361" s="28"/>
      <c r="K361" s="488"/>
      <c r="L361" s="468"/>
      <c r="M361" s="296"/>
      <c r="N361" s="296"/>
    </row>
    <row r="362" spans="1:14" s="20" customFormat="1">
      <c r="A362" s="238" t="s">
        <v>1781</v>
      </c>
      <c r="B362" s="231" t="s">
        <v>1709</v>
      </c>
      <c r="C362" s="32" t="s">
        <v>47</v>
      </c>
      <c r="D362" s="77">
        <v>22020105</v>
      </c>
      <c r="E362" s="135" t="s">
        <v>1733</v>
      </c>
      <c r="F362" s="136">
        <v>1680000</v>
      </c>
      <c r="G362" s="28">
        <v>1680000</v>
      </c>
      <c r="H362" s="28"/>
      <c r="I362" s="28"/>
      <c r="J362" s="28">
        <v>1680000</v>
      </c>
      <c r="K362" s="488">
        <f>J362*4.38%</f>
        <v>73584</v>
      </c>
      <c r="L362" s="469">
        <v>1606416</v>
      </c>
      <c r="M362" s="28">
        <v>1680000</v>
      </c>
      <c r="N362" s="28">
        <v>1680000</v>
      </c>
    </row>
    <row r="363" spans="1:14" s="20" customFormat="1">
      <c r="A363" s="253"/>
      <c r="B363" s="231"/>
      <c r="C363" s="32" t="s">
        <v>47</v>
      </c>
      <c r="D363" s="77">
        <v>22020203</v>
      </c>
      <c r="E363" s="135" t="s">
        <v>779</v>
      </c>
      <c r="F363" s="136">
        <v>240000</v>
      </c>
      <c r="G363" s="28">
        <v>240000</v>
      </c>
      <c r="H363" s="28"/>
      <c r="I363" s="28"/>
      <c r="J363" s="28">
        <v>240000</v>
      </c>
      <c r="K363" s="488">
        <f t="shared" ref="K363:K374" si="76">J363*4.38%</f>
        <v>10512</v>
      </c>
      <c r="L363" s="469">
        <v>229488</v>
      </c>
      <c r="M363" s="28">
        <v>180000</v>
      </c>
      <c r="N363" s="28">
        <v>180000</v>
      </c>
    </row>
    <row r="364" spans="1:14" s="20" customFormat="1">
      <c r="A364" s="253"/>
      <c r="B364" s="231"/>
      <c r="C364" s="32" t="s">
        <v>47</v>
      </c>
      <c r="D364" s="77">
        <v>22020204</v>
      </c>
      <c r="E364" s="135" t="s">
        <v>780</v>
      </c>
      <c r="F364" s="136">
        <v>585260</v>
      </c>
      <c r="G364" s="28">
        <v>585260</v>
      </c>
      <c r="H364" s="28"/>
      <c r="I364" s="28"/>
      <c r="J364" s="28">
        <v>585260</v>
      </c>
      <c r="K364" s="488">
        <f t="shared" si="76"/>
        <v>25634.387999999999</v>
      </c>
      <c r="L364" s="469">
        <v>559625.61200000008</v>
      </c>
      <c r="M364" s="28">
        <v>3120000</v>
      </c>
      <c r="N364" s="28">
        <v>3120000</v>
      </c>
    </row>
    <row r="365" spans="1:14" s="20" customFormat="1">
      <c r="A365" s="253"/>
      <c r="B365" s="231"/>
      <c r="C365" s="32" t="s">
        <v>47</v>
      </c>
      <c r="D365" s="77">
        <v>22020206</v>
      </c>
      <c r="E365" s="135" t="s">
        <v>764</v>
      </c>
      <c r="F365" s="136">
        <v>845000</v>
      </c>
      <c r="G365" s="28">
        <v>845000</v>
      </c>
      <c r="H365" s="28"/>
      <c r="I365" s="28"/>
      <c r="J365" s="28">
        <v>845000</v>
      </c>
      <c r="K365" s="488">
        <f t="shared" si="76"/>
        <v>37011</v>
      </c>
      <c r="L365" s="469">
        <v>807989</v>
      </c>
      <c r="M365" s="28">
        <v>845000</v>
      </c>
      <c r="N365" s="28">
        <v>845000</v>
      </c>
    </row>
    <row r="366" spans="1:14" s="20" customFormat="1">
      <c r="A366" s="253"/>
      <c r="B366" s="231"/>
      <c r="C366" s="32" t="s">
        <v>47</v>
      </c>
      <c r="D366" s="77">
        <v>22020209</v>
      </c>
      <c r="E366" s="135" t="s">
        <v>750</v>
      </c>
      <c r="F366" s="136">
        <v>480000</v>
      </c>
      <c r="G366" s="28">
        <v>480000</v>
      </c>
      <c r="H366" s="28"/>
      <c r="I366" s="28"/>
      <c r="J366" s="28">
        <v>480000</v>
      </c>
      <c r="K366" s="488">
        <f t="shared" si="76"/>
        <v>21024</v>
      </c>
      <c r="L366" s="469">
        <v>458976</v>
      </c>
      <c r="M366" s="28">
        <v>480000</v>
      </c>
      <c r="N366" s="28">
        <v>480000</v>
      </c>
    </row>
    <row r="367" spans="1:14" s="20" customFormat="1">
      <c r="A367" s="253"/>
      <c r="B367" s="231"/>
      <c r="C367" s="32" t="s">
        <v>47</v>
      </c>
      <c r="D367" s="77">
        <v>22020301</v>
      </c>
      <c r="E367" s="135" t="s">
        <v>737</v>
      </c>
      <c r="F367" s="136">
        <v>211300</v>
      </c>
      <c r="G367" s="28">
        <v>211300</v>
      </c>
      <c r="H367" s="28"/>
      <c r="I367" s="28"/>
      <c r="J367" s="28">
        <v>211300</v>
      </c>
      <c r="K367" s="488">
        <f t="shared" si="76"/>
        <v>9254.94</v>
      </c>
      <c r="L367" s="469">
        <v>202045.06</v>
      </c>
      <c r="M367" s="28">
        <v>211300</v>
      </c>
      <c r="N367" s="28">
        <v>211300</v>
      </c>
    </row>
    <row r="368" spans="1:14" s="20" customFormat="1">
      <c r="A368" s="253"/>
      <c r="B368" s="231"/>
      <c r="C368" s="32" t="s">
        <v>47</v>
      </c>
      <c r="D368" s="77">
        <v>22020303</v>
      </c>
      <c r="E368" s="135" t="s">
        <v>738</v>
      </c>
      <c r="F368" s="136">
        <v>432000</v>
      </c>
      <c r="G368" s="28">
        <v>432000</v>
      </c>
      <c r="H368" s="28"/>
      <c r="I368" s="28"/>
      <c r="J368" s="28">
        <v>432000</v>
      </c>
      <c r="K368" s="488">
        <f t="shared" si="76"/>
        <v>18921.599999999999</v>
      </c>
      <c r="L368" s="469">
        <v>413078.4</v>
      </c>
      <c r="M368" s="28">
        <v>410000</v>
      </c>
      <c r="N368" s="28">
        <v>410000</v>
      </c>
    </row>
    <row r="369" spans="1:14" s="20" customFormat="1">
      <c r="A369" s="253"/>
      <c r="B369" s="231"/>
      <c r="C369" s="32" t="s">
        <v>47</v>
      </c>
      <c r="D369" s="77">
        <v>22020401</v>
      </c>
      <c r="E369" s="135" t="s">
        <v>741</v>
      </c>
      <c r="F369" s="136">
        <v>260000</v>
      </c>
      <c r="G369" s="28">
        <v>260000</v>
      </c>
      <c r="H369" s="28"/>
      <c r="I369" s="28"/>
      <c r="J369" s="28">
        <v>260000</v>
      </c>
      <c r="K369" s="488">
        <f t="shared" si="76"/>
        <v>11388</v>
      </c>
      <c r="L369" s="469">
        <v>248612</v>
      </c>
      <c r="M369" s="28">
        <v>260000</v>
      </c>
      <c r="N369" s="28">
        <v>260000</v>
      </c>
    </row>
    <row r="370" spans="1:14" s="20" customFormat="1">
      <c r="A370" s="253"/>
      <c r="B370" s="231"/>
      <c r="C370" s="32" t="s">
        <v>47</v>
      </c>
      <c r="D370" s="77">
        <v>22020402</v>
      </c>
      <c r="E370" s="135" t="s">
        <v>757</v>
      </c>
      <c r="F370" s="136">
        <v>300000</v>
      </c>
      <c r="G370" s="28">
        <v>300000</v>
      </c>
      <c r="H370" s="28"/>
      <c r="I370" s="28"/>
      <c r="J370" s="28">
        <v>300000</v>
      </c>
      <c r="K370" s="488">
        <f t="shared" si="76"/>
        <v>13140</v>
      </c>
      <c r="L370" s="469">
        <v>286860</v>
      </c>
      <c r="M370" s="28">
        <v>300000</v>
      </c>
      <c r="N370" s="28">
        <v>300000</v>
      </c>
    </row>
    <row r="371" spans="1:14" s="20" customFormat="1">
      <c r="A371" s="253"/>
      <c r="B371" s="231"/>
      <c r="C371" s="32" t="s">
        <v>47</v>
      </c>
      <c r="D371" s="77">
        <v>22020405</v>
      </c>
      <c r="E371" s="135" t="s">
        <v>743</v>
      </c>
      <c r="F371" s="136">
        <v>576000</v>
      </c>
      <c r="G371" s="28">
        <v>576000</v>
      </c>
      <c r="H371" s="28"/>
      <c r="I371" s="28"/>
      <c r="J371" s="28">
        <v>576000</v>
      </c>
      <c r="K371" s="488">
        <f t="shared" si="76"/>
        <v>25228.799999999999</v>
      </c>
      <c r="L371" s="469">
        <v>550771.20000000007</v>
      </c>
      <c r="M371" s="28">
        <v>576000</v>
      </c>
      <c r="N371" s="28">
        <v>576000</v>
      </c>
    </row>
    <row r="372" spans="1:14" s="20" customFormat="1">
      <c r="A372" s="253"/>
      <c r="B372" s="231"/>
      <c r="C372" s="32" t="s">
        <v>47</v>
      </c>
      <c r="D372" s="77">
        <v>22020416</v>
      </c>
      <c r="E372" s="135" t="s">
        <v>782</v>
      </c>
      <c r="F372" s="136">
        <v>574000</v>
      </c>
      <c r="G372" s="28">
        <v>574000</v>
      </c>
      <c r="H372" s="28"/>
      <c r="I372" s="28"/>
      <c r="J372" s="28">
        <v>574000</v>
      </c>
      <c r="K372" s="488">
        <f t="shared" si="76"/>
        <v>25141.200000000001</v>
      </c>
      <c r="L372" s="469">
        <v>548858.80000000005</v>
      </c>
      <c r="M372" s="28">
        <v>161000</v>
      </c>
      <c r="N372" s="28">
        <v>161000</v>
      </c>
    </row>
    <row r="373" spans="1:14" s="20" customFormat="1">
      <c r="A373" s="253"/>
      <c r="B373" s="231"/>
      <c r="C373" s="32" t="s">
        <v>47</v>
      </c>
      <c r="D373" s="77">
        <v>22020709</v>
      </c>
      <c r="E373" s="135" t="s">
        <v>771</v>
      </c>
      <c r="F373" s="136">
        <v>400000</v>
      </c>
      <c r="G373" s="28">
        <v>400000</v>
      </c>
      <c r="H373" s="28"/>
      <c r="I373" s="28"/>
      <c r="J373" s="28">
        <v>400000</v>
      </c>
      <c r="K373" s="488">
        <f t="shared" si="76"/>
        <v>17520</v>
      </c>
      <c r="L373" s="469">
        <v>382480</v>
      </c>
      <c r="M373" s="28">
        <v>10000</v>
      </c>
      <c r="N373" s="28">
        <v>10000</v>
      </c>
    </row>
    <row r="374" spans="1:14" s="20" customFormat="1">
      <c r="A374" s="253"/>
      <c r="B374" s="231"/>
      <c r="C374" s="32" t="s">
        <v>47</v>
      </c>
      <c r="D374" s="77">
        <v>22021001</v>
      </c>
      <c r="E374" s="135" t="s">
        <v>772</v>
      </c>
      <c r="F374" s="136">
        <v>4800000</v>
      </c>
      <c r="G374" s="28">
        <v>4800000</v>
      </c>
      <c r="H374" s="28"/>
      <c r="I374" s="28"/>
      <c r="J374" s="28">
        <v>4800000</v>
      </c>
      <c r="K374" s="488">
        <f t="shared" si="76"/>
        <v>210240</v>
      </c>
      <c r="L374" s="469">
        <v>4589760</v>
      </c>
      <c r="M374" s="28">
        <v>3000000</v>
      </c>
      <c r="N374" s="28">
        <v>3000000</v>
      </c>
    </row>
    <row r="375" spans="1:14" s="20" customFormat="1">
      <c r="A375" s="238"/>
      <c r="B375" s="231"/>
      <c r="C375" s="30" t="s">
        <v>1839</v>
      </c>
      <c r="D375" s="23"/>
      <c r="E375" s="25"/>
      <c r="F375" s="137">
        <f>SUM(F362:F374)</f>
        <v>11383560</v>
      </c>
      <c r="G375" s="114">
        <f>SUM(G362:G374)</f>
        <v>11383560</v>
      </c>
      <c r="H375" s="114">
        <f t="shared" ref="H375:M375" si="77">SUM(H362:H374)</f>
        <v>0</v>
      </c>
      <c r="I375" s="114">
        <f t="shared" si="77"/>
        <v>0</v>
      </c>
      <c r="J375" s="114">
        <f>SUM(J362:J374)</f>
        <v>11383560</v>
      </c>
      <c r="K375" s="490">
        <f>SUM(K362:K374)</f>
        <v>498599.92800000001</v>
      </c>
      <c r="L375" s="468">
        <f>SUM(L362:L374)</f>
        <v>10884960.072000001</v>
      </c>
      <c r="M375" s="114">
        <f t="shared" si="77"/>
        <v>11233300</v>
      </c>
      <c r="N375" s="114">
        <f>SUM(N362:N374)</f>
        <v>11233300</v>
      </c>
    </row>
    <row r="376" spans="1:14" s="66" customFormat="1">
      <c r="A376" s="238" t="s">
        <v>827</v>
      </c>
      <c r="B376" s="231" t="s">
        <v>1851</v>
      </c>
      <c r="C376" s="30"/>
      <c r="D376" s="23"/>
      <c r="E376" s="25"/>
      <c r="F376" s="137">
        <f>F375</f>
        <v>11383560</v>
      </c>
      <c r="G376" s="114">
        <f>G375</f>
        <v>11383560</v>
      </c>
      <c r="H376" s="114">
        <f t="shared" ref="H376:M376" si="78">H375</f>
        <v>0</v>
      </c>
      <c r="I376" s="114">
        <f t="shared" si="78"/>
        <v>0</v>
      </c>
      <c r="J376" s="114">
        <f>J375</f>
        <v>11383560</v>
      </c>
      <c r="K376" s="490"/>
      <c r="L376" s="468">
        <f>L375</f>
        <v>10884960.072000001</v>
      </c>
      <c r="M376" s="114">
        <f t="shared" si="78"/>
        <v>11233300</v>
      </c>
      <c r="N376" s="114">
        <f>N375</f>
        <v>11233300</v>
      </c>
    </row>
    <row r="377" spans="1:14" s="20" customFormat="1" ht="21">
      <c r="A377" s="252"/>
      <c r="B377" s="443"/>
      <c r="C377" s="228"/>
      <c r="D377" s="229"/>
      <c r="E377" s="230"/>
      <c r="F377" s="215"/>
      <c r="G377" s="296"/>
      <c r="H377" s="296"/>
      <c r="I377" s="296"/>
      <c r="J377" s="28"/>
      <c r="K377" s="488"/>
      <c r="L377" s="468"/>
      <c r="M377" s="296"/>
      <c r="N377" s="296"/>
    </row>
    <row r="378" spans="1:14" s="20" customFormat="1">
      <c r="A378" s="238" t="s">
        <v>829</v>
      </c>
      <c r="B378" s="231" t="s">
        <v>828</v>
      </c>
      <c r="C378" s="32" t="s">
        <v>46</v>
      </c>
      <c r="D378" s="77"/>
      <c r="E378" s="135"/>
      <c r="F378" s="136">
        <v>64671902.279999994</v>
      </c>
      <c r="G378" s="28">
        <v>64671902.279999994</v>
      </c>
      <c r="H378" s="28"/>
      <c r="I378" s="28"/>
      <c r="J378" s="28">
        <f>G378+H378-I378</f>
        <v>64671902.279999994</v>
      </c>
      <c r="K378" s="488"/>
      <c r="L378" s="467">
        <f>J378</f>
        <v>64671902.279999994</v>
      </c>
      <c r="M378" s="28">
        <f>G378*10%+G378</f>
        <v>71139092.507999986</v>
      </c>
      <c r="N378" s="28">
        <f>M378*10%+M378</f>
        <v>78253001.758799985</v>
      </c>
    </row>
    <row r="379" spans="1:14" s="20" customFormat="1">
      <c r="A379" s="253"/>
      <c r="B379" s="231"/>
      <c r="C379" s="30" t="s">
        <v>1852</v>
      </c>
      <c r="D379" s="23"/>
      <c r="E379" s="25"/>
      <c r="F379" s="137">
        <f>SUM(F378)</f>
        <v>64671902.279999994</v>
      </c>
      <c r="G379" s="114">
        <f>SUM(G378)</f>
        <v>64671902.279999994</v>
      </c>
      <c r="H379" s="114">
        <f t="shared" ref="H379:I379" si="79">SUM(H378)</f>
        <v>0</v>
      </c>
      <c r="I379" s="114">
        <f t="shared" si="79"/>
        <v>0</v>
      </c>
      <c r="J379" s="114">
        <f>SUM(J378)</f>
        <v>64671902.279999994</v>
      </c>
      <c r="K379" s="490"/>
      <c r="L379" s="468">
        <f>SUM(L378)</f>
        <v>64671902.279999994</v>
      </c>
      <c r="M379" s="114">
        <f>SUM(M378)</f>
        <v>71139092.507999986</v>
      </c>
      <c r="N379" s="114">
        <f>SUM(N378)</f>
        <v>78253001.758799985</v>
      </c>
    </row>
    <row r="380" spans="1:14" s="20" customFormat="1">
      <c r="A380" s="253"/>
      <c r="B380" s="231"/>
      <c r="C380" s="32" t="s">
        <v>47</v>
      </c>
      <c r="D380" s="77">
        <v>22020105</v>
      </c>
      <c r="E380" s="135" t="s">
        <v>1733</v>
      </c>
      <c r="F380" s="136">
        <v>2550000</v>
      </c>
      <c r="G380" s="28">
        <v>2550000</v>
      </c>
      <c r="H380" s="28"/>
      <c r="I380" s="28"/>
      <c r="J380" s="28">
        <v>2550000</v>
      </c>
      <c r="K380" s="488">
        <f>J380*4.38%</f>
        <v>111690</v>
      </c>
      <c r="L380" s="469">
        <v>2438310</v>
      </c>
      <c r="M380" s="28">
        <v>24169500</v>
      </c>
      <c r="N380" s="28">
        <v>23062500</v>
      </c>
    </row>
    <row r="381" spans="1:14" s="20" customFormat="1">
      <c r="A381" s="253"/>
      <c r="B381" s="231"/>
      <c r="C381" s="32" t="s">
        <v>47</v>
      </c>
      <c r="D381" s="77">
        <v>22020114</v>
      </c>
      <c r="E381" s="135" t="s">
        <v>830</v>
      </c>
      <c r="F381" s="136">
        <v>7829000</v>
      </c>
      <c r="G381" s="28">
        <v>7829000</v>
      </c>
      <c r="H381" s="28"/>
      <c r="I381" s="28"/>
      <c r="J381" s="28">
        <v>7829000</v>
      </c>
      <c r="K381" s="488">
        <f t="shared" ref="K381:K387" si="80">J381*4.38%</f>
        <v>342910.2</v>
      </c>
      <c r="L381" s="469">
        <v>7486089.8000000007</v>
      </c>
      <c r="M381" s="28">
        <v>5796000</v>
      </c>
      <c r="N381" s="28">
        <v>5796000</v>
      </c>
    </row>
    <row r="382" spans="1:14" s="20" customFormat="1">
      <c r="A382" s="253"/>
      <c r="B382" s="231"/>
      <c r="C382" s="32" t="s">
        <v>47</v>
      </c>
      <c r="D382" s="77">
        <v>22020301</v>
      </c>
      <c r="E382" s="135" t="s">
        <v>737</v>
      </c>
      <c r="F382" s="136">
        <v>9340000</v>
      </c>
      <c r="G382" s="28">
        <v>9340000</v>
      </c>
      <c r="H382" s="28"/>
      <c r="I382" s="28"/>
      <c r="J382" s="28">
        <v>9340000</v>
      </c>
      <c r="K382" s="488">
        <f t="shared" si="80"/>
        <v>409092</v>
      </c>
      <c r="L382" s="469">
        <v>8930908</v>
      </c>
      <c r="M382" s="28">
        <v>164000</v>
      </c>
      <c r="N382" s="28">
        <v>140000</v>
      </c>
    </row>
    <row r="383" spans="1:14" s="20" customFormat="1">
      <c r="A383" s="253"/>
      <c r="B383" s="231"/>
      <c r="C383" s="32" t="s">
        <v>47</v>
      </c>
      <c r="D383" s="77">
        <v>22020305</v>
      </c>
      <c r="E383" s="135" t="s">
        <v>755</v>
      </c>
      <c r="F383" s="136">
        <v>2000000</v>
      </c>
      <c r="G383" s="28">
        <v>2000000</v>
      </c>
      <c r="H383" s="28"/>
      <c r="I383" s="28"/>
      <c r="J383" s="28">
        <v>2000000</v>
      </c>
      <c r="K383" s="488">
        <f t="shared" si="80"/>
        <v>87600</v>
      </c>
      <c r="L383" s="469">
        <v>1912400</v>
      </c>
      <c r="M383" s="28">
        <v>12000000</v>
      </c>
      <c r="N383" s="28">
        <v>12000000</v>
      </c>
    </row>
    <row r="384" spans="1:14" s="20" customFormat="1">
      <c r="A384" s="253"/>
      <c r="B384" s="231"/>
      <c r="C384" s="32" t="s">
        <v>47</v>
      </c>
      <c r="D384" s="77">
        <v>22020610</v>
      </c>
      <c r="E384" s="135" t="s">
        <v>831</v>
      </c>
      <c r="F384" s="136">
        <v>8500000</v>
      </c>
      <c r="G384" s="28">
        <v>8500000</v>
      </c>
      <c r="H384" s="28"/>
      <c r="I384" s="28"/>
      <c r="J384" s="28">
        <v>8500000</v>
      </c>
      <c r="K384" s="488">
        <f t="shared" si="80"/>
        <v>372300</v>
      </c>
      <c r="L384" s="469">
        <v>8127700</v>
      </c>
      <c r="M384" s="28">
        <v>30024000</v>
      </c>
      <c r="N384" s="28">
        <v>30024000</v>
      </c>
    </row>
    <row r="385" spans="1:14" s="20" customFormat="1">
      <c r="A385" s="253"/>
      <c r="B385" s="231"/>
      <c r="C385" s="32" t="s">
        <v>47</v>
      </c>
      <c r="D385" s="77">
        <v>22020709</v>
      </c>
      <c r="E385" s="135" t="s">
        <v>771</v>
      </c>
      <c r="F385" s="136">
        <v>150000</v>
      </c>
      <c r="G385" s="28">
        <v>150000</v>
      </c>
      <c r="H385" s="28"/>
      <c r="I385" s="28"/>
      <c r="J385" s="28">
        <v>150000</v>
      </c>
      <c r="K385" s="488">
        <f t="shared" si="80"/>
        <v>6570</v>
      </c>
      <c r="L385" s="469">
        <v>143430</v>
      </c>
      <c r="M385" s="28">
        <v>150000</v>
      </c>
      <c r="N385" s="28">
        <v>150000</v>
      </c>
    </row>
    <row r="386" spans="1:14" s="20" customFormat="1">
      <c r="A386" s="253"/>
      <c r="B386" s="231"/>
      <c r="C386" s="32" t="s">
        <v>47</v>
      </c>
      <c r="D386" s="77">
        <v>22021003</v>
      </c>
      <c r="E386" s="135" t="s">
        <v>760</v>
      </c>
      <c r="F386" s="136">
        <v>8000000</v>
      </c>
      <c r="G386" s="28">
        <v>8000000</v>
      </c>
      <c r="H386" s="28"/>
      <c r="I386" s="28"/>
      <c r="J386" s="28">
        <v>8000000</v>
      </c>
      <c r="K386" s="488">
        <f t="shared" si="80"/>
        <v>350400</v>
      </c>
      <c r="L386" s="469">
        <v>7649600</v>
      </c>
      <c r="M386" s="28">
        <v>14869000</v>
      </c>
      <c r="N386" s="28">
        <v>14869000</v>
      </c>
    </row>
    <row r="387" spans="1:14" s="20" customFormat="1">
      <c r="A387" s="253"/>
      <c r="B387" s="231"/>
      <c r="C387" s="32" t="s">
        <v>47</v>
      </c>
      <c r="D387" s="77">
        <v>22021021</v>
      </c>
      <c r="E387" s="135" t="s">
        <v>832</v>
      </c>
      <c r="F387" s="136">
        <v>2000000</v>
      </c>
      <c r="G387" s="28">
        <v>2000000</v>
      </c>
      <c r="H387" s="28"/>
      <c r="I387" s="28"/>
      <c r="J387" s="28">
        <v>2000000</v>
      </c>
      <c r="K387" s="488">
        <f t="shared" si="80"/>
        <v>87600</v>
      </c>
      <c r="L387" s="469">
        <v>1912400</v>
      </c>
      <c r="M387" s="28">
        <v>8630000</v>
      </c>
      <c r="N387" s="28">
        <v>8630000</v>
      </c>
    </row>
    <row r="388" spans="1:14" s="20" customFormat="1">
      <c r="A388" s="238"/>
      <c r="B388" s="231"/>
      <c r="C388" s="30" t="s">
        <v>1837</v>
      </c>
      <c r="D388" s="23"/>
      <c r="E388" s="25"/>
      <c r="F388" s="137">
        <f>SUM(F380:F387)</f>
        <v>40369000</v>
      </c>
      <c r="G388" s="114">
        <f>SUM(G380:G387)</f>
        <v>40369000</v>
      </c>
      <c r="H388" s="114">
        <f t="shared" ref="H388:I388" si="81">SUM(H380:H387)</f>
        <v>0</v>
      </c>
      <c r="I388" s="114">
        <f t="shared" si="81"/>
        <v>0</v>
      </c>
      <c r="J388" s="114">
        <f>SUM(J380:J387)</f>
        <v>40369000</v>
      </c>
      <c r="K388" s="490">
        <f>SUM(K380:K387)</f>
        <v>1768162.2</v>
      </c>
      <c r="L388" s="468">
        <f>SUM(L380:L387)</f>
        <v>38600837.799999997</v>
      </c>
      <c r="M388" s="114">
        <f>SUM(M380:M387)</f>
        <v>95802500</v>
      </c>
      <c r="N388" s="114">
        <f>SUM(N380:N387)</f>
        <v>94671500</v>
      </c>
    </row>
    <row r="389" spans="1:14" s="20" customFormat="1" ht="30">
      <c r="A389" s="253" t="s">
        <v>829</v>
      </c>
      <c r="B389" s="231" t="s">
        <v>1853</v>
      </c>
      <c r="C389" s="30"/>
      <c r="D389" s="23"/>
      <c r="E389" s="25"/>
      <c r="F389" s="137">
        <f>F388+F379</f>
        <v>105040902.28</v>
      </c>
      <c r="G389" s="114">
        <f>G379+G388</f>
        <v>105040902.28</v>
      </c>
      <c r="H389" s="114">
        <f t="shared" ref="H389:I389" si="82">H379+H388</f>
        <v>0</v>
      </c>
      <c r="I389" s="114">
        <f t="shared" si="82"/>
        <v>0</v>
      </c>
      <c r="J389" s="114">
        <f>J379+J388</f>
        <v>105040902.28</v>
      </c>
      <c r="K389" s="490">
        <f>K379+K388</f>
        <v>1768162.2</v>
      </c>
      <c r="L389" s="468">
        <f>L379+L388</f>
        <v>103272740.07999998</v>
      </c>
      <c r="M389" s="114">
        <f>M388+M379</f>
        <v>166941592.50799999</v>
      </c>
      <c r="N389" s="114">
        <f>N388+N379</f>
        <v>172924501.75879997</v>
      </c>
    </row>
    <row r="390" spans="1:14" s="20" customFormat="1" ht="21">
      <c r="A390" s="252"/>
      <c r="B390" s="443"/>
      <c r="C390" s="228"/>
      <c r="D390" s="229"/>
      <c r="E390" s="230"/>
      <c r="F390" s="215"/>
      <c r="G390" s="296"/>
      <c r="H390" s="296"/>
      <c r="I390" s="296"/>
      <c r="J390" s="28"/>
      <c r="K390" s="488"/>
      <c r="L390" s="468"/>
      <c r="M390" s="296"/>
      <c r="N390" s="296"/>
    </row>
    <row r="391" spans="1:14" s="20" customFormat="1">
      <c r="A391" s="238" t="s">
        <v>833</v>
      </c>
      <c r="B391" s="231" t="s">
        <v>158</v>
      </c>
      <c r="C391" s="32" t="s">
        <v>47</v>
      </c>
      <c r="D391" s="77">
        <v>22020105</v>
      </c>
      <c r="E391" s="135" t="s">
        <v>1733</v>
      </c>
      <c r="F391" s="138">
        <v>1800000</v>
      </c>
      <c r="G391" s="297">
        <v>1800000</v>
      </c>
      <c r="H391" s="297"/>
      <c r="I391" s="297"/>
      <c r="J391" s="28">
        <v>1800000</v>
      </c>
      <c r="K391" s="488">
        <f>J391*4.38%</f>
        <v>78840</v>
      </c>
      <c r="L391" s="469">
        <v>1721160</v>
      </c>
      <c r="M391" s="297">
        <f>G391*10%+G391</f>
        <v>1980000</v>
      </c>
      <c r="N391" s="297">
        <f>M391*10%+M391</f>
        <v>2178000</v>
      </c>
    </row>
    <row r="392" spans="1:14" s="20" customFormat="1">
      <c r="A392" s="253"/>
      <c r="B392" s="231"/>
      <c r="C392" s="32" t="s">
        <v>47</v>
      </c>
      <c r="D392" s="77">
        <v>22020301</v>
      </c>
      <c r="E392" s="135" t="s">
        <v>737</v>
      </c>
      <c r="F392" s="138">
        <v>1076600</v>
      </c>
      <c r="G392" s="297">
        <v>1076600</v>
      </c>
      <c r="H392" s="297"/>
      <c r="I392" s="297"/>
      <c r="J392" s="28">
        <v>1076600</v>
      </c>
      <c r="K392" s="488">
        <f t="shared" ref="K392:K404" si="83">J392*4.38%</f>
        <v>47155.08</v>
      </c>
      <c r="L392" s="469">
        <v>1029444.92</v>
      </c>
      <c r="M392" s="297">
        <v>562000</v>
      </c>
      <c r="N392" s="297">
        <v>562000</v>
      </c>
    </row>
    <row r="393" spans="1:14" s="20" customFormat="1">
      <c r="A393" s="253"/>
      <c r="B393" s="231"/>
      <c r="C393" s="32" t="s">
        <v>47</v>
      </c>
      <c r="D393" s="77">
        <v>22020305</v>
      </c>
      <c r="E393" s="135" t="s">
        <v>755</v>
      </c>
      <c r="F393" s="138">
        <v>347500</v>
      </c>
      <c r="G393" s="297">
        <v>347500</v>
      </c>
      <c r="H393" s="297"/>
      <c r="I393" s="297"/>
      <c r="J393" s="28">
        <v>347500</v>
      </c>
      <c r="K393" s="488">
        <f t="shared" si="83"/>
        <v>15220.5</v>
      </c>
      <c r="L393" s="469">
        <v>332279.5</v>
      </c>
      <c r="M393" s="297">
        <f t="shared" ref="M393:M402" si="84">G393*10%+G393</f>
        <v>382250</v>
      </c>
      <c r="N393" s="297">
        <f>M393*10%+M393</f>
        <v>420475</v>
      </c>
    </row>
    <row r="394" spans="1:14" s="20" customFormat="1">
      <c r="A394" s="253"/>
      <c r="B394" s="231"/>
      <c r="C394" s="32" t="s">
        <v>47</v>
      </c>
      <c r="D394" s="77">
        <v>22020315</v>
      </c>
      <c r="E394" s="135" t="s">
        <v>740</v>
      </c>
      <c r="F394" s="138">
        <v>4156000</v>
      </c>
      <c r="G394" s="297">
        <v>4156000</v>
      </c>
      <c r="H394" s="297"/>
      <c r="I394" s="297"/>
      <c r="J394" s="28">
        <v>4156000</v>
      </c>
      <c r="K394" s="488">
        <f t="shared" si="83"/>
        <v>182032.8</v>
      </c>
      <c r="L394" s="469">
        <v>3973967.2</v>
      </c>
      <c r="M394" s="297">
        <f t="shared" si="84"/>
        <v>4571600</v>
      </c>
      <c r="N394" s="297">
        <f t="shared" ref="N394:N402" si="85">M394*10%+M394</f>
        <v>5028760</v>
      </c>
    </row>
    <row r="395" spans="1:14" s="20" customFormat="1">
      <c r="A395" s="253"/>
      <c r="B395" s="231"/>
      <c r="C395" s="32" t="s">
        <v>47</v>
      </c>
      <c r="D395" s="77">
        <v>22020401</v>
      </c>
      <c r="E395" s="135" t="s">
        <v>741</v>
      </c>
      <c r="F395" s="138">
        <v>548000</v>
      </c>
      <c r="G395" s="297">
        <v>548000</v>
      </c>
      <c r="H395" s="297"/>
      <c r="I395" s="297"/>
      <c r="J395" s="28">
        <v>548000</v>
      </c>
      <c r="K395" s="488">
        <f t="shared" si="83"/>
        <v>24002.399999999998</v>
      </c>
      <c r="L395" s="469">
        <v>523997.60000000003</v>
      </c>
      <c r="M395" s="297">
        <f t="shared" si="84"/>
        <v>602800</v>
      </c>
      <c r="N395" s="297">
        <f t="shared" si="85"/>
        <v>663080</v>
      </c>
    </row>
    <row r="396" spans="1:14" s="20" customFormat="1">
      <c r="A396" s="253"/>
      <c r="B396" s="231"/>
      <c r="C396" s="32" t="s">
        <v>47</v>
      </c>
      <c r="D396" s="77">
        <v>22020402</v>
      </c>
      <c r="E396" s="135" t="s">
        <v>757</v>
      </c>
      <c r="F396" s="138">
        <v>95000</v>
      </c>
      <c r="G396" s="297">
        <v>95000</v>
      </c>
      <c r="H396" s="297"/>
      <c r="I396" s="297"/>
      <c r="J396" s="28">
        <v>95000</v>
      </c>
      <c r="K396" s="488">
        <f t="shared" si="83"/>
        <v>4161</v>
      </c>
      <c r="L396" s="469">
        <v>90839</v>
      </c>
      <c r="M396" s="297">
        <f t="shared" si="84"/>
        <v>104500</v>
      </c>
      <c r="N396" s="297">
        <f t="shared" si="85"/>
        <v>114950</v>
      </c>
    </row>
    <row r="397" spans="1:14" s="20" customFormat="1">
      <c r="A397" s="253"/>
      <c r="B397" s="231"/>
      <c r="C397" s="32" t="s">
        <v>47</v>
      </c>
      <c r="D397" s="77">
        <v>22020404</v>
      </c>
      <c r="E397" s="135" t="s">
        <v>742</v>
      </c>
      <c r="F397" s="138">
        <v>72000</v>
      </c>
      <c r="G397" s="297">
        <v>72000</v>
      </c>
      <c r="H397" s="297"/>
      <c r="I397" s="297"/>
      <c r="J397" s="28">
        <v>72000</v>
      </c>
      <c r="K397" s="488">
        <f t="shared" si="83"/>
        <v>3153.6</v>
      </c>
      <c r="L397" s="469">
        <v>68846.400000000009</v>
      </c>
      <c r="M397" s="297">
        <f t="shared" si="84"/>
        <v>79200</v>
      </c>
      <c r="N397" s="297">
        <f t="shared" si="85"/>
        <v>87120</v>
      </c>
    </row>
    <row r="398" spans="1:14" s="20" customFormat="1">
      <c r="A398" s="253"/>
      <c r="B398" s="231"/>
      <c r="C398" s="32" t="s">
        <v>47</v>
      </c>
      <c r="D398" s="77">
        <v>22020405</v>
      </c>
      <c r="E398" s="135" t="s">
        <v>743</v>
      </c>
      <c r="F398" s="138">
        <v>186800</v>
      </c>
      <c r="G398" s="297">
        <v>186800</v>
      </c>
      <c r="H398" s="297"/>
      <c r="I398" s="297"/>
      <c r="J398" s="28">
        <v>186800</v>
      </c>
      <c r="K398" s="488">
        <f t="shared" si="83"/>
        <v>8181.84</v>
      </c>
      <c r="L398" s="469">
        <v>178618.16</v>
      </c>
      <c r="M398" s="297">
        <f t="shared" si="84"/>
        <v>205480</v>
      </c>
      <c r="N398" s="297">
        <f t="shared" si="85"/>
        <v>226028</v>
      </c>
    </row>
    <row r="399" spans="1:14" s="20" customFormat="1">
      <c r="A399" s="253"/>
      <c r="B399" s="231"/>
      <c r="C399" s="32" t="s">
        <v>47</v>
      </c>
      <c r="D399" s="77">
        <v>22020605</v>
      </c>
      <c r="E399" s="135" t="s">
        <v>768</v>
      </c>
      <c r="F399" s="138">
        <v>100000</v>
      </c>
      <c r="G399" s="297">
        <v>100000</v>
      </c>
      <c r="H399" s="297"/>
      <c r="I399" s="297"/>
      <c r="J399" s="28">
        <v>100000</v>
      </c>
      <c r="K399" s="488">
        <f t="shared" si="83"/>
        <v>4380</v>
      </c>
      <c r="L399" s="469">
        <v>95620</v>
      </c>
      <c r="M399" s="297">
        <f t="shared" si="84"/>
        <v>110000</v>
      </c>
      <c r="N399" s="297">
        <f t="shared" si="85"/>
        <v>121000</v>
      </c>
    </row>
    <row r="400" spans="1:14" s="20" customFormat="1">
      <c r="A400" s="253"/>
      <c r="B400" s="231"/>
      <c r="C400" s="32" t="s">
        <v>47</v>
      </c>
      <c r="D400" s="77">
        <v>22020801</v>
      </c>
      <c r="E400" s="135" t="s">
        <v>747</v>
      </c>
      <c r="F400" s="138">
        <v>522000</v>
      </c>
      <c r="G400" s="297">
        <v>522000</v>
      </c>
      <c r="H400" s="297"/>
      <c r="I400" s="297"/>
      <c r="J400" s="28">
        <v>522000</v>
      </c>
      <c r="K400" s="488">
        <f t="shared" si="83"/>
        <v>22863.599999999999</v>
      </c>
      <c r="L400" s="469">
        <v>499136.4</v>
      </c>
      <c r="M400" s="297">
        <f t="shared" si="84"/>
        <v>574200</v>
      </c>
      <c r="N400" s="297">
        <f t="shared" si="85"/>
        <v>631620</v>
      </c>
    </row>
    <row r="401" spans="1:14" s="20" customFormat="1">
      <c r="A401" s="253"/>
      <c r="B401" s="231"/>
      <c r="C401" s="32" t="s">
        <v>47</v>
      </c>
      <c r="D401" s="77">
        <v>22020803</v>
      </c>
      <c r="E401" s="135" t="s">
        <v>748</v>
      </c>
      <c r="F401" s="138">
        <v>580800</v>
      </c>
      <c r="G401" s="297">
        <v>580800</v>
      </c>
      <c r="H401" s="297"/>
      <c r="I401" s="297"/>
      <c r="J401" s="28">
        <v>580800</v>
      </c>
      <c r="K401" s="488">
        <f t="shared" si="83"/>
        <v>25439.040000000001</v>
      </c>
      <c r="L401" s="469">
        <v>555360.96000000008</v>
      </c>
      <c r="M401" s="297">
        <f t="shared" si="84"/>
        <v>638880</v>
      </c>
      <c r="N401" s="297">
        <f t="shared" si="85"/>
        <v>702768</v>
      </c>
    </row>
    <row r="402" spans="1:14" s="20" customFormat="1">
      <c r="A402" s="253"/>
      <c r="B402" s="231"/>
      <c r="C402" s="32" t="s">
        <v>47</v>
      </c>
      <c r="D402" s="77">
        <v>22020901</v>
      </c>
      <c r="E402" s="135" t="s">
        <v>749</v>
      </c>
      <c r="F402" s="138">
        <v>6720</v>
      </c>
      <c r="G402" s="297">
        <v>6720</v>
      </c>
      <c r="H402" s="297"/>
      <c r="I402" s="297"/>
      <c r="J402" s="28">
        <v>6720</v>
      </c>
      <c r="K402" s="488">
        <f t="shared" si="83"/>
        <v>294.33600000000001</v>
      </c>
      <c r="L402" s="469">
        <v>6425.6640000000007</v>
      </c>
      <c r="M402" s="297">
        <f t="shared" si="84"/>
        <v>7392</v>
      </c>
      <c r="N402" s="297">
        <f t="shared" si="85"/>
        <v>8131.2</v>
      </c>
    </row>
    <row r="403" spans="1:14" s="20" customFormat="1">
      <c r="A403" s="253"/>
      <c r="B403" s="231"/>
      <c r="C403" s="32" t="s">
        <v>47</v>
      </c>
      <c r="D403" s="77">
        <v>22021001</v>
      </c>
      <c r="E403" s="135" t="s">
        <v>772</v>
      </c>
      <c r="F403" s="138">
        <v>240000</v>
      </c>
      <c r="G403" s="297">
        <v>240000</v>
      </c>
      <c r="H403" s="297"/>
      <c r="I403" s="297"/>
      <c r="J403" s="28">
        <v>240000</v>
      </c>
      <c r="K403" s="488">
        <f t="shared" si="83"/>
        <v>10512</v>
      </c>
      <c r="L403" s="469">
        <v>229488</v>
      </c>
      <c r="M403" s="297">
        <v>240000</v>
      </c>
      <c r="N403" s="297">
        <v>240000</v>
      </c>
    </row>
    <row r="404" spans="1:14" s="20" customFormat="1">
      <c r="A404" s="253"/>
      <c r="B404" s="231"/>
      <c r="C404" s="32" t="s">
        <v>47</v>
      </c>
      <c r="D404" s="77">
        <v>22021026</v>
      </c>
      <c r="E404" s="135" t="s">
        <v>751</v>
      </c>
      <c r="F404" s="138">
        <f>3828000-910000-2000000</f>
        <v>918000</v>
      </c>
      <c r="G404" s="297">
        <f>3828000-910000-2000000</f>
        <v>918000</v>
      </c>
      <c r="H404" s="297"/>
      <c r="I404" s="297"/>
      <c r="J404" s="28">
        <v>918000</v>
      </c>
      <c r="K404" s="488">
        <f t="shared" si="83"/>
        <v>40208.400000000001</v>
      </c>
      <c r="L404" s="469">
        <v>877791.60000000009</v>
      </c>
      <c r="M404" s="297">
        <f>G404*10%+G404</f>
        <v>1009800</v>
      </c>
      <c r="N404" s="297">
        <f>M404*10%+M404</f>
        <v>1110780</v>
      </c>
    </row>
    <row r="405" spans="1:14" s="20" customFormat="1">
      <c r="A405" s="238"/>
      <c r="B405" s="231"/>
      <c r="C405" s="30" t="s">
        <v>1837</v>
      </c>
      <c r="D405" s="23"/>
      <c r="E405" s="25"/>
      <c r="F405" s="137">
        <f>SUM(F391:F404)</f>
        <v>10649420</v>
      </c>
      <c r="G405" s="114">
        <f>SUM(G391:G404)</f>
        <v>10649420</v>
      </c>
      <c r="H405" s="114">
        <f t="shared" ref="H405:I405" si="86">SUM(H391:H404)</f>
        <v>0</v>
      </c>
      <c r="I405" s="114">
        <f t="shared" si="86"/>
        <v>0</v>
      </c>
      <c r="J405" s="114">
        <f>SUM(J391:J404)</f>
        <v>10649420</v>
      </c>
      <c r="K405" s="490">
        <f>SUM(K391:K404)</f>
        <v>466444.59600000002</v>
      </c>
      <c r="L405" s="468">
        <f>SUM(L391:L404)</f>
        <v>10182975.404000001</v>
      </c>
      <c r="M405" s="114">
        <f>SUM(M391:M404)</f>
        <v>11068102</v>
      </c>
      <c r="N405" s="114">
        <f>SUM(N391:N404)</f>
        <v>12094712.199999999</v>
      </c>
    </row>
    <row r="406" spans="1:14" s="66" customFormat="1" ht="30">
      <c r="A406" s="238" t="s">
        <v>833</v>
      </c>
      <c r="B406" s="231" t="s">
        <v>1854</v>
      </c>
      <c r="C406" s="30"/>
      <c r="D406" s="23"/>
      <c r="E406" s="25"/>
      <c r="F406" s="137">
        <f>F405</f>
        <v>10649420</v>
      </c>
      <c r="G406" s="114">
        <f>G405</f>
        <v>10649420</v>
      </c>
      <c r="H406" s="114">
        <f t="shared" ref="H406:I406" si="87">H405</f>
        <v>0</v>
      </c>
      <c r="I406" s="114">
        <f t="shared" si="87"/>
        <v>0</v>
      </c>
      <c r="J406" s="114">
        <f>J405</f>
        <v>10649420</v>
      </c>
      <c r="K406" s="490"/>
      <c r="L406" s="468">
        <f>L405</f>
        <v>10182975.404000001</v>
      </c>
      <c r="M406" s="114">
        <f>M405</f>
        <v>11068102</v>
      </c>
      <c r="N406" s="114">
        <f>N405</f>
        <v>12094712.199999999</v>
      </c>
    </row>
    <row r="407" spans="1:14" s="20" customFormat="1" ht="21">
      <c r="A407" s="252"/>
      <c r="B407" s="443"/>
      <c r="C407" s="228"/>
      <c r="D407" s="229"/>
      <c r="E407" s="230"/>
      <c r="F407" s="215"/>
      <c r="G407" s="296"/>
      <c r="H407" s="296"/>
      <c r="I407" s="296"/>
      <c r="J407" s="28"/>
      <c r="K407" s="488"/>
      <c r="L407" s="468"/>
      <c r="M407" s="296"/>
      <c r="N407" s="296"/>
    </row>
    <row r="408" spans="1:14" s="20" customFormat="1">
      <c r="A408" s="238" t="s">
        <v>834</v>
      </c>
      <c r="B408" s="231" t="s">
        <v>157</v>
      </c>
      <c r="C408" s="32" t="s">
        <v>46</v>
      </c>
      <c r="D408" s="77"/>
      <c r="E408" s="135"/>
      <c r="F408" s="136">
        <v>16824969.77</v>
      </c>
      <c r="G408" s="28">
        <v>16824969.77</v>
      </c>
      <c r="H408" s="28">
        <v>22395330.43</v>
      </c>
      <c r="I408" s="28"/>
      <c r="J408" s="28">
        <v>39220300.200000003</v>
      </c>
      <c r="K408" s="488"/>
      <c r="L408" s="467">
        <v>39220300.200000003</v>
      </c>
      <c r="M408" s="28">
        <f>G408*10%+G408</f>
        <v>18507466.747000001</v>
      </c>
      <c r="N408" s="28">
        <f>M408*10%+M408</f>
        <v>20358213.421700001</v>
      </c>
    </row>
    <row r="409" spans="1:14" s="20" customFormat="1">
      <c r="A409" s="253"/>
      <c r="B409" s="231"/>
      <c r="C409" s="30" t="s">
        <v>1836</v>
      </c>
      <c r="D409" s="23"/>
      <c r="E409" s="25"/>
      <c r="F409" s="137">
        <f>SUM(F408)</f>
        <v>16824969.77</v>
      </c>
      <c r="G409" s="114">
        <f>SUM(G408)</f>
        <v>16824969.77</v>
      </c>
      <c r="H409" s="114">
        <f t="shared" ref="H409:I409" si="88">SUM(H408)</f>
        <v>22395330.43</v>
      </c>
      <c r="I409" s="114">
        <f t="shared" si="88"/>
        <v>0</v>
      </c>
      <c r="J409" s="114">
        <f>SUM(J408)</f>
        <v>39220300.200000003</v>
      </c>
      <c r="K409" s="490"/>
      <c r="L409" s="468">
        <f>SUM(L408)</f>
        <v>39220300.200000003</v>
      </c>
      <c r="M409" s="114">
        <f>SUM(M408)</f>
        <v>18507466.747000001</v>
      </c>
      <c r="N409" s="114">
        <f>SUM(N408)</f>
        <v>20358213.421700001</v>
      </c>
    </row>
    <row r="410" spans="1:14" s="20" customFormat="1">
      <c r="A410" s="253"/>
      <c r="B410" s="231"/>
      <c r="C410" s="32" t="s">
        <v>47</v>
      </c>
      <c r="D410" s="77">
        <v>22020105</v>
      </c>
      <c r="E410" s="135" t="s">
        <v>1733</v>
      </c>
      <c r="F410" s="136">
        <v>7600000</v>
      </c>
      <c r="G410" s="28">
        <v>7600000</v>
      </c>
      <c r="H410" s="28"/>
      <c r="I410" s="28"/>
      <c r="J410" s="28">
        <v>7600000</v>
      </c>
      <c r="K410" s="488">
        <f>J410*4.38%</f>
        <v>332880</v>
      </c>
      <c r="L410" s="469">
        <v>7267120</v>
      </c>
      <c r="M410" s="28">
        <v>7600000</v>
      </c>
      <c r="N410" s="28">
        <v>7600000</v>
      </c>
    </row>
    <row r="411" spans="1:14" s="20" customFormat="1">
      <c r="A411" s="253"/>
      <c r="B411" s="231"/>
      <c r="C411" s="32" t="s">
        <v>47</v>
      </c>
      <c r="D411" s="77">
        <v>22020203</v>
      </c>
      <c r="E411" s="135" t="s">
        <v>779</v>
      </c>
      <c r="F411" s="136">
        <v>5000000</v>
      </c>
      <c r="G411" s="28">
        <v>5000000</v>
      </c>
      <c r="H411" s="28"/>
      <c r="I411" s="28"/>
      <c r="J411" s="28">
        <v>5000000</v>
      </c>
      <c r="K411" s="488">
        <f t="shared" ref="K411:K421" si="89">J411*4.38%</f>
        <v>219000</v>
      </c>
      <c r="L411" s="469">
        <v>4781000</v>
      </c>
      <c r="M411" s="28">
        <v>13000000</v>
      </c>
      <c r="N411" s="28">
        <v>13000000</v>
      </c>
    </row>
    <row r="412" spans="1:14" s="20" customFormat="1">
      <c r="A412" s="253"/>
      <c r="B412" s="231"/>
      <c r="C412" s="32" t="s">
        <v>47</v>
      </c>
      <c r="D412" s="77">
        <v>22020208</v>
      </c>
      <c r="E412" s="135" t="s">
        <v>799</v>
      </c>
      <c r="F412" s="136">
        <v>2000000</v>
      </c>
      <c r="G412" s="28">
        <v>2000000</v>
      </c>
      <c r="H412" s="28"/>
      <c r="I412" s="28"/>
      <c r="J412" s="28">
        <v>2000000</v>
      </c>
      <c r="K412" s="488">
        <f t="shared" si="89"/>
        <v>87600</v>
      </c>
      <c r="L412" s="469">
        <v>1912400</v>
      </c>
      <c r="M412" s="28">
        <v>3000000</v>
      </c>
      <c r="N412" s="28">
        <v>3000000</v>
      </c>
    </row>
    <row r="413" spans="1:14" s="20" customFormat="1">
      <c r="A413" s="253"/>
      <c r="B413" s="231"/>
      <c r="C413" s="32" t="s">
        <v>47</v>
      </c>
      <c r="D413" s="77">
        <v>22020301</v>
      </c>
      <c r="E413" s="135" t="s">
        <v>737</v>
      </c>
      <c r="F413" s="136">
        <v>960000</v>
      </c>
      <c r="G413" s="28">
        <v>960000</v>
      </c>
      <c r="H413" s="28"/>
      <c r="I413" s="28"/>
      <c r="J413" s="28">
        <v>960000</v>
      </c>
      <c r="K413" s="488">
        <f t="shared" si="89"/>
        <v>42048</v>
      </c>
      <c r="L413" s="469">
        <v>917952</v>
      </c>
      <c r="M413" s="28">
        <v>960000</v>
      </c>
      <c r="N413" s="28">
        <v>960000</v>
      </c>
    </row>
    <row r="414" spans="1:14" s="20" customFormat="1">
      <c r="A414" s="253"/>
      <c r="B414" s="231"/>
      <c r="C414" s="32" t="s">
        <v>47</v>
      </c>
      <c r="D414" s="77">
        <v>22020305</v>
      </c>
      <c r="E414" s="135" t="s">
        <v>755</v>
      </c>
      <c r="F414" s="136">
        <v>2480000</v>
      </c>
      <c r="G414" s="28">
        <v>2480000</v>
      </c>
      <c r="H414" s="28"/>
      <c r="I414" s="28"/>
      <c r="J414" s="28">
        <v>2480000</v>
      </c>
      <c r="K414" s="488">
        <f t="shared" si="89"/>
        <v>108624</v>
      </c>
      <c r="L414" s="469">
        <v>2371376</v>
      </c>
      <c r="M414" s="28">
        <v>2480000</v>
      </c>
      <c r="N414" s="28">
        <v>2480000</v>
      </c>
    </row>
    <row r="415" spans="1:14" s="20" customFormat="1">
      <c r="A415" s="253"/>
      <c r="B415" s="231"/>
      <c r="C415" s="32" t="s">
        <v>47</v>
      </c>
      <c r="D415" s="77">
        <v>22020315</v>
      </c>
      <c r="E415" s="135" t="s">
        <v>740</v>
      </c>
      <c r="F415" s="136">
        <v>4010000</v>
      </c>
      <c r="G415" s="28">
        <v>4010000</v>
      </c>
      <c r="H415" s="28"/>
      <c r="I415" s="28"/>
      <c r="J415" s="28">
        <v>4010000</v>
      </c>
      <c r="K415" s="488">
        <f t="shared" si="89"/>
        <v>175638</v>
      </c>
      <c r="L415" s="469">
        <v>3834362</v>
      </c>
      <c r="M415" s="28">
        <v>4010000</v>
      </c>
      <c r="N415" s="28">
        <v>4010000</v>
      </c>
    </row>
    <row r="416" spans="1:14" s="20" customFormat="1">
      <c r="A416" s="253"/>
      <c r="B416" s="231"/>
      <c r="C416" s="32" t="s">
        <v>47</v>
      </c>
      <c r="D416" s="77">
        <v>22020404</v>
      </c>
      <c r="E416" s="135" t="s">
        <v>742</v>
      </c>
      <c r="F416" s="136">
        <v>207500</v>
      </c>
      <c r="G416" s="28">
        <v>207500</v>
      </c>
      <c r="H416" s="28"/>
      <c r="I416" s="28"/>
      <c r="J416" s="28">
        <v>207500</v>
      </c>
      <c r="K416" s="488">
        <f t="shared" si="89"/>
        <v>9088.5</v>
      </c>
      <c r="L416" s="469">
        <v>198411.5</v>
      </c>
      <c r="M416" s="28">
        <v>207500</v>
      </c>
      <c r="N416" s="28">
        <v>207500</v>
      </c>
    </row>
    <row r="417" spans="1:14" s="20" customFormat="1">
      <c r="A417" s="253"/>
      <c r="B417" s="231"/>
      <c r="C417" s="32" t="s">
        <v>47</v>
      </c>
      <c r="D417" s="77">
        <v>22020405</v>
      </c>
      <c r="E417" s="135" t="s">
        <v>743</v>
      </c>
      <c r="F417" s="136">
        <v>784000</v>
      </c>
      <c r="G417" s="28">
        <v>784000</v>
      </c>
      <c r="H417" s="28"/>
      <c r="I417" s="28"/>
      <c r="J417" s="28">
        <v>784000</v>
      </c>
      <c r="K417" s="488">
        <f t="shared" si="89"/>
        <v>34339.199999999997</v>
      </c>
      <c r="L417" s="469">
        <v>749660.8</v>
      </c>
      <c r="M417" s="28">
        <v>664000</v>
      </c>
      <c r="N417" s="28">
        <v>664000</v>
      </c>
    </row>
    <row r="418" spans="1:14" s="20" customFormat="1">
      <c r="A418" s="253"/>
      <c r="B418" s="231"/>
      <c r="C418" s="32" t="s">
        <v>47</v>
      </c>
      <c r="D418" s="77">
        <v>22020709</v>
      </c>
      <c r="E418" s="135" t="s">
        <v>771</v>
      </c>
      <c r="F418" s="136">
        <v>500000</v>
      </c>
      <c r="G418" s="28">
        <v>500000</v>
      </c>
      <c r="H418" s="28"/>
      <c r="I418" s="28"/>
      <c r="J418" s="28">
        <v>500000</v>
      </c>
      <c r="K418" s="488">
        <f t="shared" si="89"/>
        <v>21900</v>
      </c>
      <c r="L418" s="469">
        <v>478100</v>
      </c>
      <c r="M418" s="28">
        <v>500000</v>
      </c>
      <c r="N418" s="28">
        <v>500000</v>
      </c>
    </row>
    <row r="419" spans="1:14" s="20" customFormat="1">
      <c r="A419" s="253"/>
      <c r="B419" s="231"/>
      <c r="C419" s="32" t="s">
        <v>47</v>
      </c>
      <c r="D419" s="77">
        <v>22020801</v>
      </c>
      <c r="E419" s="135" t="s">
        <v>747</v>
      </c>
      <c r="F419" s="136">
        <v>800000</v>
      </c>
      <c r="G419" s="28">
        <v>800000</v>
      </c>
      <c r="H419" s="28"/>
      <c r="I419" s="28"/>
      <c r="J419" s="28">
        <v>800000</v>
      </c>
      <c r="K419" s="488">
        <f t="shared" si="89"/>
        <v>35040</v>
      </c>
      <c r="L419" s="469">
        <v>764960</v>
      </c>
      <c r="M419" s="28">
        <v>800000</v>
      </c>
      <c r="N419" s="28">
        <v>800000</v>
      </c>
    </row>
    <row r="420" spans="1:14" s="20" customFormat="1">
      <c r="A420" s="253"/>
      <c r="B420" s="231"/>
      <c r="C420" s="32" t="s">
        <v>47</v>
      </c>
      <c r="D420" s="77">
        <v>22021001</v>
      </c>
      <c r="E420" s="135" t="s">
        <v>772</v>
      </c>
      <c r="F420" s="136">
        <v>2000000</v>
      </c>
      <c r="G420" s="28">
        <v>2000000</v>
      </c>
      <c r="H420" s="28"/>
      <c r="I420" s="28"/>
      <c r="J420" s="28">
        <v>2000000</v>
      </c>
      <c r="K420" s="488">
        <f t="shared" si="89"/>
        <v>87600</v>
      </c>
      <c r="L420" s="469">
        <v>1912400</v>
      </c>
      <c r="M420" s="28">
        <v>5825000</v>
      </c>
      <c r="N420" s="28">
        <v>5825000</v>
      </c>
    </row>
    <row r="421" spans="1:14" s="20" customFormat="1">
      <c r="A421" s="253"/>
      <c r="B421" s="231"/>
      <c r="C421" s="32" t="s">
        <v>47</v>
      </c>
      <c r="D421" s="77">
        <v>22021003</v>
      </c>
      <c r="E421" s="135" t="s">
        <v>760</v>
      </c>
      <c r="F421" s="136">
        <v>2500000</v>
      </c>
      <c r="G421" s="28">
        <v>2500000</v>
      </c>
      <c r="H421" s="28"/>
      <c r="I421" s="28"/>
      <c r="J421" s="28">
        <v>2500000</v>
      </c>
      <c r="K421" s="488">
        <f t="shared" si="89"/>
        <v>109500</v>
      </c>
      <c r="L421" s="469">
        <v>2390500</v>
      </c>
      <c r="M421" s="28">
        <v>6500000</v>
      </c>
      <c r="N421" s="28">
        <v>6500000</v>
      </c>
    </row>
    <row r="422" spans="1:14" s="20" customFormat="1">
      <c r="A422" s="238"/>
      <c r="B422" s="231"/>
      <c r="C422" s="30" t="s">
        <v>1839</v>
      </c>
      <c r="D422" s="23"/>
      <c r="E422" s="25"/>
      <c r="F422" s="137">
        <f>SUM(F410:F421)</f>
        <v>28841500</v>
      </c>
      <c r="G422" s="114">
        <f>SUM(G410:G421)</f>
        <v>28841500</v>
      </c>
      <c r="H422" s="114">
        <f t="shared" ref="H422:M422" si="90">SUM(H410:H421)</f>
        <v>0</v>
      </c>
      <c r="I422" s="114">
        <f t="shared" si="90"/>
        <v>0</v>
      </c>
      <c r="J422" s="114">
        <f>SUM(J410:J421)</f>
        <v>28841500</v>
      </c>
      <c r="K422" s="490">
        <f>SUM(K410:K421)</f>
        <v>1263257.7</v>
      </c>
      <c r="L422" s="468">
        <f>SUM(L410:L421)</f>
        <v>27578242.300000001</v>
      </c>
      <c r="M422" s="114">
        <f t="shared" si="90"/>
        <v>45546500</v>
      </c>
      <c r="N422" s="114">
        <f>SUM(N410:N421)</f>
        <v>45546500</v>
      </c>
    </row>
    <row r="423" spans="1:14" s="20" customFormat="1">
      <c r="A423" s="253" t="s">
        <v>834</v>
      </c>
      <c r="B423" s="231" t="s">
        <v>1855</v>
      </c>
      <c r="C423" s="30"/>
      <c r="D423" s="23"/>
      <c r="E423" s="25"/>
      <c r="F423" s="137">
        <f>F422+F409</f>
        <v>45666469.769999996</v>
      </c>
      <c r="G423" s="114">
        <f>G422+G409</f>
        <v>45666469.769999996</v>
      </c>
      <c r="H423" s="114">
        <f t="shared" ref="H423:M423" si="91">H422+H409</f>
        <v>22395330.43</v>
      </c>
      <c r="I423" s="114">
        <f t="shared" si="91"/>
        <v>0</v>
      </c>
      <c r="J423" s="114">
        <f>J422+J409</f>
        <v>68061800.200000003</v>
      </c>
      <c r="K423" s="490"/>
      <c r="L423" s="468">
        <f>L422+L409</f>
        <v>66798542.5</v>
      </c>
      <c r="M423" s="114">
        <f t="shared" si="91"/>
        <v>64053966.747000001</v>
      </c>
      <c r="N423" s="114">
        <f>N422+N409</f>
        <v>65904713.421700001</v>
      </c>
    </row>
    <row r="424" spans="1:14" s="20" customFormat="1" ht="21">
      <c r="A424" s="252"/>
      <c r="B424" s="443"/>
      <c r="C424" s="228"/>
      <c r="D424" s="229"/>
      <c r="E424" s="230"/>
      <c r="F424" s="215"/>
      <c r="G424" s="296"/>
      <c r="H424" s="296"/>
      <c r="I424" s="296"/>
      <c r="J424" s="28"/>
      <c r="K424" s="488"/>
      <c r="L424" s="468"/>
      <c r="M424" s="296"/>
      <c r="N424" s="296"/>
    </row>
    <row r="425" spans="1:14" s="20" customFormat="1">
      <c r="A425" s="232" t="s">
        <v>1782</v>
      </c>
      <c r="B425" s="231" t="s">
        <v>2139</v>
      </c>
      <c r="C425" s="32" t="s">
        <v>46</v>
      </c>
      <c r="D425" s="77"/>
      <c r="E425" s="135"/>
      <c r="F425" s="136">
        <v>34821231.899999999</v>
      </c>
      <c r="G425" s="28">
        <v>34821231.899999999</v>
      </c>
      <c r="H425" s="28"/>
      <c r="I425" s="28"/>
      <c r="J425" s="28">
        <v>34821231.899999999</v>
      </c>
      <c r="K425" s="488"/>
      <c r="L425" s="467">
        <v>34821231.899999999</v>
      </c>
      <c r="M425" s="28">
        <f>G425*10%+G425</f>
        <v>38303355.089999996</v>
      </c>
      <c r="N425" s="28">
        <f>M425*10%+M425</f>
        <v>42133690.598999992</v>
      </c>
    </row>
    <row r="426" spans="1:14" s="20" customFormat="1">
      <c r="A426" s="256"/>
      <c r="B426" s="231"/>
      <c r="C426" s="30" t="s">
        <v>1836</v>
      </c>
      <c r="D426" s="23"/>
      <c r="E426" s="25"/>
      <c r="F426" s="137">
        <f>SUM(F425)</f>
        <v>34821231.899999999</v>
      </c>
      <c r="G426" s="114">
        <f>SUM(G425)</f>
        <v>34821231.899999999</v>
      </c>
      <c r="H426" s="114">
        <f t="shared" ref="H426:I426" si="92">SUM(H425)</f>
        <v>0</v>
      </c>
      <c r="I426" s="114">
        <f t="shared" si="92"/>
        <v>0</v>
      </c>
      <c r="J426" s="114">
        <f>SUM(J425)</f>
        <v>34821231.899999999</v>
      </c>
      <c r="K426" s="490"/>
      <c r="L426" s="468">
        <f>SUM(L425)</f>
        <v>34821231.899999999</v>
      </c>
      <c r="M426" s="114">
        <f>SUM(M425)</f>
        <v>38303355.089999996</v>
      </c>
      <c r="N426" s="114">
        <f>SUM(N425)</f>
        <v>42133690.598999992</v>
      </c>
    </row>
    <row r="427" spans="1:14" s="20" customFormat="1">
      <c r="A427" s="256"/>
      <c r="B427" s="231"/>
      <c r="C427" s="32" t="s">
        <v>47</v>
      </c>
      <c r="D427" s="77">
        <v>22020105</v>
      </c>
      <c r="E427" s="135" t="s">
        <v>1733</v>
      </c>
      <c r="F427" s="138">
        <v>3466000</v>
      </c>
      <c r="G427" s="297">
        <v>3466000</v>
      </c>
      <c r="H427" s="297"/>
      <c r="I427" s="297"/>
      <c r="J427" s="28">
        <v>3466000</v>
      </c>
      <c r="K427" s="488">
        <f>J427*4.38%</f>
        <v>151810.79999999999</v>
      </c>
      <c r="L427" s="469">
        <v>3314189.2</v>
      </c>
      <c r="M427" s="297">
        <v>3466000</v>
      </c>
      <c r="N427" s="297">
        <v>3466000</v>
      </c>
    </row>
    <row r="428" spans="1:14" s="20" customFormat="1">
      <c r="A428" s="256"/>
      <c r="B428" s="231"/>
      <c r="C428" s="32" t="s">
        <v>47</v>
      </c>
      <c r="D428" s="77">
        <v>22020301</v>
      </c>
      <c r="E428" s="135" t="s">
        <v>737</v>
      </c>
      <c r="F428" s="138">
        <v>1308000</v>
      </c>
      <c r="G428" s="297">
        <v>1308000</v>
      </c>
      <c r="H428" s="297"/>
      <c r="I428" s="297"/>
      <c r="J428" s="28">
        <v>1308000</v>
      </c>
      <c r="K428" s="488">
        <f t="shared" ref="K428:K437" si="93">J428*4.38%</f>
        <v>57290.400000000001</v>
      </c>
      <c r="L428" s="469">
        <v>1250709.6000000001</v>
      </c>
      <c r="M428" s="297">
        <v>1461000</v>
      </c>
      <c r="N428" s="297">
        <v>1461000</v>
      </c>
    </row>
    <row r="429" spans="1:14" s="20" customFormat="1">
      <c r="A429" s="256"/>
      <c r="B429" s="231"/>
      <c r="C429" s="32" t="s">
        <v>47</v>
      </c>
      <c r="D429" s="77">
        <v>22020305</v>
      </c>
      <c r="E429" s="135" t="s">
        <v>755</v>
      </c>
      <c r="F429" s="138">
        <v>300000</v>
      </c>
      <c r="G429" s="297">
        <v>300000</v>
      </c>
      <c r="H429" s="297"/>
      <c r="I429" s="297"/>
      <c r="J429" s="28">
        <v>300000</v>
      </c>
      <c r="K429" s="488">
        <f t="shared" si="93"/>
        <v>13140</v>
      </c>
      <c r="L429" s="469">
        <v>286860</v>
      </c>
      <c r="M429" s="297">
        <v>300000</v>
      </c>
      <c r="N429" s="297">
        <v>300000</v>
      </c>
    </row>
    <row r="430" spans="1:14" s="20" customFormat="1">
      <c r="A430" s="256"/>
      <c r="B430" s="231"/>
      <c r="C430" s="32" t="s">
        <v>47</v>
      </c>
      <c r="D430" s="77">
        <v>22020401</v>
      </c>
      <c r="E430" s="135" t="s">
        <v>741</v>
      </c>
      <c r="F430" s="138">
        <v>789200</v>
      </c>
      <c r="G430" s="297">
        <v>789200</v>
      </c>
      <c r="H430" s="297"/>
      <c r="I430" s="297"/>
      <c r="J430" s="28">
        <v>789200</v>
      </c>
      <c r="K430" s="488">
        <f t="shared" si="93"/>
        <v>34566.959999999999</v>
      </c>
      <c r="L430" s="469">
        <v>754633.04</v>
      </c>
      <c r="M430" s="297">
        <v>789200</v>
      </c>
      <c r="N430" s="297">
        <v>789200</v>
      </c>
    </row>
    <row r="431" spans="1:14" s="20" customFormat="1">
      <c r="A431" s="256"/>
      <c r="B431" s="231"/>
      <c r="C431" s="32" t="s">
        <v>47</v>
      </c>
      <c r="D431" s="77">
        <v>22020402</v>
      </c>
      <c r="E431" s="135" t="s">
        <v>757</v>
      </c>
      <c r="F431" s="138">
        <v>195800</v>
      </c>
      <c r="G431" s="297">
        <v>195800</v>
      </c>
      <c r="H431" s="297"/>
      <c r="I431" s="297"/>
      <c r="J431" s="28">
        <v>195800</v>
      </c>
      <c r="K431" s="488">
        <f t="shared" si="93"/>
        <v>8576.0399999999991</v>
      </c>
      <c r="L431" s="469">
        <v>187223.96000000002</v>
      </c>
      <c r="M431" s="297">
        <v>195800</v>
      </c>
      <c r="N431" s="297">
        <v>195800</v>
      </c>
    </row>
    <row r="432" spans="1:14" s="20" customFormat="1">
      <c r="A432" s="256"/>
      <c r="B432" s="231"/>
      <c r="C432" s="32" t="s">
        <v>47</v>
      </c>
      <c r="D432" s="77">
        <v>22020405</v>
      </c>
      <c r="E432" s="135" t="s">
        <v>743</v>
      </c>
      <c r="F432" s="138">
        <v>203500</v>
      </c>
      <c r="G432" s="297">
        <v>203500</v>
      </c>
      <c r="H432" s="297"/>
      <c r="I432" s="297"/>
      <c r="J432" s="28">
        <v>203500</v>
      </c>
      <c r="K432" s="488">
        <f t="shared" si="93"/>
        <v>8913.2999999999993</v>
      </c>
      <c r="L432" s="469">
        <v>194586.7</v>
      </c>
      <c r="M432" s="297">
        <v>203500</v>
      </c>
      <c r="N432" s="297">
        <v>203500</v>
      </c>
    </row>
    <row r="433" spans="1:14" s="20" customFormat="1">
      <c r="A433" s="256"/>
      <c r="B433" s="231"/>
      <c r="C433" s="32" t="s">
        <v>47</v>
      </c>
      <c r="D433" s="77">
        <v>22020416</v>
      </c>
      <c r="E433" s="135" t="s">
        <v>782</v>
      </c>
      <c r="F433" s="138">
        <v>756000</v>
      </c>
      <c r="G433" s="297">
        <v>756000</v>
      </c>
      <c r="H433" s="297"/>
      <c r="I433" s="297"/>
      <c r="J433" s="28">
        <v>756000</v>
      </c>
      <c r="K433" s="488">
        <f t="shared" si="93"/>
        <v>33112.799999999996</v>
      </c>
      <c r="L433" s="469">
        <v>722887.20000000007</v>
      </c>
      <c r="M433" s="297">
        <v>756000</v>
      </c>
      <c r="N433" s="297">
        <v>756000</v>
      </c>
    </row>
    <row r="434" spans="1:14" s="20" customFormat="1">
      <c r="A434" s="256"/>
      <c r="B434" s="231"/>
      <c r="C434" s="32" t="s">
        <v>47</v>
      </c>
      <c r="D434" s="77">
        <v>22020801</v>
      </c>
      <c r="E434" s="135" t="s">
        <v>747</v>
      </c>
      <c r="F434" s="138">
        <v>2371800</v>
      </c>
      <c r="G434" s="297">
        <v>2371800</v>
      </c>
      <c r="H434" s="297"/>
      <c r="I434" s="297"/>
      <c r="J434" s="28">
        <v>2371800</v>
      </c>
      <c r="K434" s="488">
        <f t="shared" si="93"/>
        <v>103884.84</v>
      </c>
      <c r="L434" s="469">
        <v>2267915.16</v>
      </c>
      <c r="M434" s="297">
        <v>2371800</v>
      </c>
      <c r="N434" s="297">
        <v>2371800</v>
      </c>
    </row>
    <row r="435" spans="1:14" s="20" customFormat="1">
      <c r="A435" s="256"/>
      <c r="B435" s="231"/>
      <c r="C435" s="32" t="s">
        <v>47</v>
      </c>
      <c r="D435" s="77">
        <v>22020803</v>
      </c>
      <c r="E435" s="135" t="s">
        <v>748</v>
      </c>
      <c r="F435" s="138">
        <v>413500</v>
      </c>
      <c r="G435" s="297">
        <v>413500</v>
      </c>
      <c r="H435" s="297"/>
      <c r="I435" s="297"/>
      <c r="J435" s="28">
        <v>413500</v>
      </c>
      <c r="K435" s="488">
        <f t="shared" si="93"/>
        <v>18111.3</v>
      </c>
      <c r="L435" s="469">
        <v>395388.7</v>
      </c>
      <c r="M435" s="297">
        <v>413500</v>
      </c>
      <c r="N435" s="297">
        <v>413500</v>
      </c>
    </row>
    <row r="436" spans="1:14" s="20" customFormat="1">
      <c r="A436" s="256"/>
      <c r="B436" s="231"/>
      <c r="C436" s="32" t="s">
        <v>47</v>
      </c>
      <c r="D436" s="77">
        <v>22021001</v>
      </c>
      <c r="E436" s="135" t="s">
        <v>772</v>
      </c>
      <c r="F436" s="138">
        <v>2389000</v>
      </c>
      <c r="G436" s="297">
        <v>2389000</v>
      </c>
      <c r="H436" s="297"/>
      <c r="I436" s="297"/>
      <c r="J436" s="28">
        <v>2389000</v>
      </c>
      <c r="K436" s="488">
        <f t="shared" si="93"/>
        <v>104638.2</v>
      </c>
      <c r="L436" s="469">
        <v>2284361.8000000003</v>
      </c>
      <c r="M436" s="297">
        <v>2389000</v>
      </c>
      <c r="N436" s="297">
        <v>2389000</v>
      </c>
    </row>
    <row r="437" spans="1:14" s="20" customFormat="1">
      <c r="A437" s="256"/>
      <c r="B437" s="231"/>
      <c r="C437" s="32" t="s">
        <v>47</v>
      </c>
      <c r="D437" s="77">
        <v>22021003</v>
      </c>
      <c r="E437" s="135" t="s">
        <v>760</v>
      </c>
      <c r="F437" s="138">
        <v>513800</v>
      </c>
      <c r="G437" s="297">
        <v>513800</v>
      </c>
      <c r="H437" s="297"/>
      <c r="I437" s="297"/>
      <c r="J437" s="28">
        <v>513800</v>
      </c>
      <c r="K437" s="488">
        <f t="shared" si="93"/>
        <v>22504.44</v>
      </c>
      <c r="L437" s="469">
        <v>491295.56</v>
      </c>
      <c r="M437" s="297">
        <v>513800</v>
      </c>
      <c r="N437" s="297">
        <v>513800</v>
      </c>
    </row>
    <row r="438" spans="1:14" s="20" customFormat="1">
      <c r="A438" s="232"/>
      <c r="B438" s="231"/>
      <c r="C438" s="30" t="s">
        <v>1837</v>
      </c>
      <c r="D438" s="23"/>
      <c r="E438" s="25"/>
      <c r="F438" s="137">
        <f>SUM(F427:F437)</f>
        <v>12706600</v>
      </c>
      <c r="G438" s="114">
        <f>SUM(G427:G437)</f>
        <v>12706600</v>
      </c>
      <c r="H438" s="114">
        <f t="shared" ref="H438:I438" si="94">SUM(H427:H437)</f>
        <v>0</v>
      </c>
      <c r="I438" s="114">
        <f t="shared" si="94"/>
        <v>0</v>
      </c>
      <c r="J438" s="114">
        <f>SUM(J427:J437)</f>
        <v>12706600</v>
      </c>
      <c r="K438" s="490">
        <f>SUM(K427:K437)</f>
        <v>556549.07999999984</v>
      </c>
      <c r="L438" s="468">
        <f>SUM(L427:L437)</f>
        <v>12150050.920000002</v>
      </c>
      <c r="M438" s="114">
        <f>SUM(M427:M437)</f>
        <v>12859600</v>
      </c>
      <c r="N438" s="114">
        <f>SUM(N427:N437)</f>
        <v>12859600</v>
      </c>
    </row>
    <row r="439" spans="1:14" s="66" customFormat="1">
      <c r="A439" s="232" t="s">
        <v>1704</v>
      </c>
      <c r="B439" s="231" t="s">
        <v>2140</v>
      </c>
      <c r="C439" s="30"/>
      <c r="D439" s="23"/>
      <c r="E439" s="25"/>
      <c r="F439" s="137">
        <f>F438+F426</f>
        <v>47527831.899999999</v>
      </c>
      <c r="G439" s="114">
        <f>G438+G426</f>
        <v>47527831.899999999</v>
      </c>
      <c r="H439" s="114">
        <f t="shared" ref="H439:I439" si="95">H438+H426</f>
        <v>0</v>
      </c>
      <c r="I439" s="114">
        <f t="shared" si="95"/>
        <v>0</v>
      </c>
      <c r="J439" s="114">
        <f>J438+J426</f>
        <v>47527831.899999999</v>
      </c>
      <c r="K439" s="490"/>
      <c r="L439" s="468">
        <f>L438+L426</f>
        <v>46971282.82</v>
      </c>
      <c r="M439" s="114">
        <f>M438+M426</f>
        <v>51162955.089999996</v>
      </c>
      <c r="N439" s="114">
        <f>N438+N426</f>
        <v>54993290.598999992</v>
      </c>
    </row>
    <row r="440" spans="1:14" s="20" customFormat="1" ht="21">
      <c r="A440" s="252"/>
      <c r="B440" s="443"/>
      <c r="C440" s="228"/>
      <c r="D440" s="229"/>
      <c r="E440" s="230"/>
      <c r="F440" s="215"/>
      <c r="G440" s="296"/>
      <c r="H440" s="296"/>
      <c r="I440" s="296"/>
      <c r="J440" s="28"/>
      <c r="K440" s="488"/>
      <c r="L440" s="468"/>
      <c r="M440" s="296"/>
      <c r="N440" s="296"/>
    </row>
    <row r="441" spans="1:14" s="20" customFormat="1">
      <c r="A441" s="238" t="s">
        <v>835</v>
      </c>
      <c r="B441" s="231" t="s">
        <v>156</v>
      </c>
      <c r="C441" s="32" t="s">
        <v>46</v>
      </c>
      <c r="D441" s="77">
        <v>21010101</v>
      </c>
      <c r="E441" s="135" t="s">
        <v>725</v>
      </c>
      <c r="F441" s="136">
        <v>26044009.68</v>
      </c>
      <c r="G441" s="28">
        <v>26044009.68</v>
      </c>
      <c r="H441" s="28"/>
      <c r="I441" s="28"/>
      <c r="J441" s="28">
        <v>26044009.68</v>
      </c>
      <c r="K441" s="488"/>
      <c r="L441" s="467">
        <v>26044009.68</v>
      </c>
      <c r="M441" s="28">
        <v>28648410.648000002</v>
      </c>
      <c r="N441" s="28">
        <v>31513251.712800004</v>
      </c>
    </row>
    <row r="442" spans="1:14" s="20" customFormat="1">
      <c r="A442" s="253"/>
      <c r="B442" s="231"/>
      <c r="C442" s="32" t="s">
        <v>46</v>
      </c>
      <c r="D442" s="77">
        <v>21020101</v>
      </c>
      <c r="E442" s="135" t="s">
        <v>726</v>
      </c>
      <c r="F442" s="136">
        <v>6511003.5600000042</v>
      </c>
      <c r="G442" s="28">
        <v>6511003.5600000042</v>
      </c>
      <c r="H442" s="28"/>
      <c r="I442" s="28"/>
      <c r="J442" s="28">
        <v>6511003.5600000042</v>
      </c>
      <c r="K442" s="488"/>
      <c r="L442" s="467">
        <v>6511003.5600000042</v>
      </c>
      <c r="M442" s="28">
        <v>7162103.9160000049</v>
      </c>
      <c r="N442" s="28">
        <v>7878314.3076000055</v>
      </c>
    </row>
    <row r="443" spans="1:14" s="20" customFormat="1">
      <c r="A443" s="253"/>
      <c r="B443" s="231"/>
      <c r="C443" s="32" t="s">
        <v>46</v>
      </c>
      <c r="D443" s="77">
        <v>21020102</v>
      </c>
      <c r="E443" s="135" t="s">
        <v>727</v>
      </c>
      <c r="F443" s="136">
        <v>2604401.9999999995</v>
      </c>
      <c r="G443" s="28">
        <v>2604401.9999999995</v>
      </c>
      <c r="H443" s="28"/>
      <c r="I443" s="28"/>
      <c r="J443" s="28">
        <v>2604401.9999999995</v>
      </c>
      <c r="K443" s="488"/>
      <c r="L443" s="467">
        <v>2604401.9999999995</v>
      </c>
      <c r="M443" s="28">
        <v>2864842.1999999997</v>
      </c>
      <c r="N443" s="28">
        <v>3151326.42</v>
      </c>
    </row>
    <row r="444" spans="1:14" s="20" customFormat="1">
      <c r="A444" s="253"/>
      <c r="B444" s="231"/>
      <c r="C444" s="32" t="s">
        <v>46</v>
      </c>
      <c r="D444" s="77">
        <v>21020103</v>
      </c>
      <c r="E444" s="135" t="s">
        <v>728</v>
      </c>
      <c r="F444" s="136">
        <v>1302201.2399999998</v>
      </c>
      <c r="G444" s="28">
        <v>1302201.2399999998</v>
      </c>
      <c r="H444" s="28"/>
      <c r="I444" s="28"/>
      <c r="J444" s="28">
        <v>1302201.2399999998</v>
      </c>
      <c r="K444" s="488"/>
      <c r="L444" s="467">
        <v>1302201.2399999998</v>
      </c>
      <c r="M444" s="28">
        <v>1432421.3639999998</v>
      </c>
      <c r="N444" s="28">
        <v>1575663.5004</v>
      </c>
    </row>
    <row r="445" spans="1:14" s="20" customFormat="1">
      <c r="A445" s="253"/>
      <c r="B445" s="231"/>
      <c r="C445" s="32" t="s">
        <v>46</v>
      </c>
      <c r="D445" s="77">
        <v>21020104</v>
      </c>
      <c r="E445" s="135" t="s">
        <v>729</v>
      </c>
      <c r="F445" s="136">
        <v>1302201.2399999998</v>
      </c>
      <c r="G445" s="28">
        <v>1302201.2399999998</v>
      </c>
      <c r="H445" s="28"/>
      <c r="I445" s="28"/>
      <c r="J445" s="28">
        <v>1302201.2399999998</v>
      </c>
      <c r="K445" s="488"/>
      <c r="L445" s="467">
        <v>1302201.2399999998</v>
      </c>
      <c r="M445" s="28">
        <v>1432421.3639999998</v>
      </c>
      <c r="N445" s="28">
        <v>1575663.5004</v>
      </c>
    </row>
    <row r="446" spans="1:14" s="20" customFormat="1">
      <c r="A446" s="253"/>
      <c r="B446" s="231"/>
      <c r="C446" s="32" t="s">
        <v>46</v>
      </c>
      <c r="D446" s="77">
        <v>21020105</v>
      </c>
      <c r="E446" s="135" t="s">
        <v>836</v>
      </c>
      <c r="F446" s="136">
        <v>172471.08000000002</v>
      </c>
      <c r="G446" s="28">
        <v>172471.08000000002</v>
      </c>
      <c r="H446" s="28"/>
      <c r="I446" s="28"/>
      <c r="J446" s="28">
        <v>172471.08000000002</v>
      </c>
      <c r="K446" s="488"/>
      <c r="L446" s="467">
        <v>172471.08000000002</v>
      </c>
      <c r="M446" s="28">
        <v>189718.18800000002</v>
      </c>
      <c r="N446" s="28">
        <v>208690.00680000003</v>
      </c>
    </row>
    <row r="447" spans="1:14" s="20" customFormat="1">
      <c r="A447" s="253"/>
      <c r="B447" s="231"/>
      <c r="C447" s="32" t="s">
        <v>46</v>
      </c>
      <c r="D447" s="77">
        <v>21020106</v>
      </c>
      <c r="E447" s="135" t="s">
        <v>731</v>
      </c>
      <c r="F447" s="136">
        <v>2604400.9680000003</v>
      </c>
      <c r="G447" s="28">
        <v>2604400.9680000003</v>
      </c>
      <c r="H447" s="28"/>
      <c r="I447" s="28"/>
      <c r="J447" s="28">
        <v>2604400.9680000003</v>
      </c>
      <c r="K447" s="488"/>
      <c r="L447" s="467">
        <v>2604400.9680000003</v>
      </c>
      <c r="M447" s="28">
        <v>2864841.0648000007</v>
      </c>
      <c r="N447" s="28">
        <v>3151325.1712800013</v>
      </c>
    </row>
    <row r="448" spans="1:14" s="20" customFormat="1">
      <c r="A448" s="253"/>
      <c r="B448" s="231"/>
      <c r="C448" s="32" t="s">
        <v>46</v>
      </c>
      <c r="D448" s="77">
        <v>21020107</v>
      </c>
      <c r="E448" s="135" t="s">
        <v>837</v>
      </c>
      <c r="F448" s="136">
        <v>1512000</v>
      </c>
      <c r="G448" s="28">
        <v>1512000</v>
      </c>
      <c r="H448" s="28"/>
      <c r="I448" s="28"/>
      <c r="J448" s="28">
        <v>1512000</v>
      </c>
      <c r="K448" s="488"/>
      <c r="L448" s="467">
        <v>1512000</v>
      </c>
      <c r="M448" s="28">
        <v>1663200.0000000002</v>
      </c>
      <c r="N448" s="28">
        <v>1829520.0000000005</v>
      </c>
    </row>
    <row r="449" spans="1:14" s="20" customFormat="1">
      <c r="A449" s="253"/>
      <c r="B449" s="231"/>
      <c r="C449" s="32" t="s">
        <v>46</v>
      </c>
      <c r="D449" s="77">
        <v>21020108</v>
      </c>
      <c r="E449" s="135" t="s">
        <v>838</v>
      </c>
      <c r="F449" s="136">
        <v>30000</v>
      </c>
      <c r="G449" s="28">
        <v>30000</v>
      </c>
      <c r="H449" s="28"/>
      <c r="I449" s="28"/>
      <c r="J449" s="28">
        <v>30000</v>
      </c>
      <c r="K449" s="488"/>
      <c r="L449" s="467">
        <v>30000</v>
      </c>
      <c r="M449" s="28">
        <v>33000</v>
      </c>
      <c r="N449" s="28">
        <v>36300</v>
      </c>
    </row>
    <row r="450" spans="1:14" s="20" customFormat="1">
      <c r="A450" s="253"/>
      <c r="B450" s="231"/>
      <c r="C450" s="30" t="s">
        <v>1836</v>
      </c>
      <c r="D450" s="23"/>
      <c r="E450" s="25"/>
      <c r="F450" s="137">
        <f>SUM(F441:F449)</f>
        <v>42082689.768000007</v>
      </c>
      <c r="G450" s="114">
        <f>SUM(G441:G449)</f>
        <v>42082689.768000007</v>
      </c>
      <c r="H450" s="114">
        <f t="shared" ref="H450:I450" si="96">SUM(H441:H449)</f>
        <v>0</v>
      </c>
      <c r="I450" s="114">
        <f t="shared" si="96"/>
        <v>0</v>
      </c>
      <c r="J450" s="114">
        <f>SUM(J441:J449)</f>
        <v>42082689.768000007</v>
      </c>
      <c r="K450" s="490"/>
      <c r="L450" s="468">
        <f>SUM(L441:L449)</f>
        <v>42082689.768000007</v>
      </c>
      <c r="M450" s="114">
        <f>SUM(M441:M449)</f>
        <v>46290958.744800016</v>
      </c>
      <c r="N450" s="114">
        <f>SUM(N441:N449)</f>
        <v>50920054.619280018</v>
      </c>
    </row>
    <row r="451" spans="1:14" s="20" customFormat="1">
      <c r="A451" s="253"/>
      <c r="B451" s="231"/>
      <c r="C451" s="32" t="s">
        <v>47</v>
      </c>
      <c r="D451" s="77">
        <v>22020105</v>
      </c>
      <c r="E451" s="135" t="s">
        <v>1733</v>
      </c>
      <c r="F451" s="138">
        <v>828000</v>
      </c>
      <c r="G451" s="297">
        <v>828000</v>
      </c>
      <c r="H451" s="297"/>
      <c r="I451" s="297"/>
      <c r="J451" s="28">
        <v>828000</v>
      </c>
      <c r="K451" s="488">
        <f>J451*4.38%</f>
        <v>36266.400000000001</v>
      </c>
      <c r="L451" s="469">
        <v>791733.60000000009</v>
      </c>
      <c r="M451" s="297">
        <v>420000</v>
      </c>
      <c r="N451" s="297">
        <v>268000</v>
      </c>
    </row>
    <row r="452" spans="1:14" s="20" customFormat="1">
      <c r="A452" s="253"/>
      <c r="B452" s="231"/>
      <c r="C452" s="32" t="s">
        <v>47</v>
      </c>
      <c r="D452" s="77">
        <v>22020301</v>
      </c>
      <c r="E452" s="135" t="s">
        <v>737</v>
      </c>
      <c r="F452" s="138">
        <f>1259905-500000</f>
        <v>759905</v>
      </c>
      <c r="G452" s="297">
        <f>1259905-500000</f>
        <v>759905</v>
      </c>
      <c r="H452" s="297"/>
      <c r="I452" s="297"/>
      <c r="J452" s="28">
        <v>759905</v>
      </c>
      <c r="K452" s="488">
        <f t="shared" ref="K452:K466" si="97">J452*4.38%</f>
        <v>33283.839</v>
      </c>
      <c r="L452" s="469">
        <v>726621.16100000008</v>
      </c>
      <c r="M452" s="297">
        <v>965905</v>
      </c>
      <c r="N452" s="297">
        <v>1784905</v>
      </c>
    </row>
    <row r="453" spans="1:14" s="20" customFormat="1">
      <c r="A453" s="253"/>
      <c r="B453" s="231"/>
      <c r="C453" s="32" t="s">
        <v>47</v>
      </c>
      <c r="D453" s="77">
        <v>22020305</v>
      </c>
      <c r="E453" s="135" t="s">
        <v>755</v>
      </c>
      <c r="F453" s="138">
        <f>485000-200000</f>
        <v>285000</v>
      </c>
      <c r="G453" s="297">
        <f>485000-200000</f>
        <v>285000</v>
      </c>
      <c r="H453" s="297"/>
      <c r="I453" s="297"/>
      <c r="J453" s="28">
        <v>285000</v>
      </c>
      <c r="K453" s="488">
        <f t="shared" si="97"/>
        <v>12483</v>
      </c>
      <c r="L453" s="469">
        <v>272517</v>
      </c>
      <c r="M453" s="297">
        <v>485000</v>
      </c>
      <c r="N453" s="297">
        <v>365000</v>
      </c>
    </row>
    <row r="454" spans="1:14" s="20" customFormat="1">
      <c r="A454" s="253"/>
      <c r="B454" s="231"/>
      <c r="C454" s="32" t="s">
        <v>47</v>
      </c>
      <c r="D454" s="77">
        <v>22020306</v>
      </c>
      <c r="E454" s="135" t="s">
        <v>765</v>
      </c>
      <c r="F454" s="138">
        <f>422400-200000</f>
        <v>222400</v>
      </c>
      <c r="G454" s="297">
        <f>422400-200000</f>
        <v>222400</v>
      </c>
      <c r="H454" s="297"/>
      <c r="I454" s="297"/>
      <c r="J454" s="28">
        <v>222400</v>
      </c>
      <c r="K454" s="488">
        <f t="shared" si="97"/>
        <v>9741.119999999999</v>
      </c>
      <c r="L454" s="469">
        <v>212658.88</v>
      </c>
      <c r="M454" s="297">
        <v>422400</v>
      </c>
      <c r="N454" s="297">
        <v>422400</v>
      </c>
    </row>
    <row r="455" spans="1:14" s="20" customFormat="1">
      <c r="A455" s="253"/>
      <c r="B455" s="231"/>
      <c r="C455" s="32" t="s">
        <v>47</v>
      </c>
      <c r="D455" s="77">
        <v>22020401</v>
      </c>
      <c r="E455" s="135" t="s">
        <v>741</v>
      </c>
      <c r="F455" s="138">
        <v>120000</v>
      </c>
      <c r="G455" s="297">
        <v>120000</v>
      </c>
      <c r="H455" s="297"/>
      <c r="I455" s="297"/>
      <c r="J455" s="28">
        <v>120000</v>
      </c>
      <c r="K455" s="488">
        <f t="shared" si="97"/>
        <v>5256</v>
      </c>
      <c r="L455" s="469">
        <v>114744</v>
      </c>
      <c r="M455" s="297">
        <v>60000</v>
      </c>
      <c r="N455" s="297">
        <v>60000</v>
      </c>
    </row>
    <row r="456" spans="1:14" s="20" customFormat="1">
      <c r="A456" s="253"/>
      <c r="B456" s="231"/>
      <c r="C456" s="32" t="s">
        <v>47</v>
      </c>
      <c r="D456" s="77">
        <v>22020402</v>
      </c>
      <c r="E456" s="135" t="s">
        <v>757</v>
      </c>
      <c r="F456" s="138">
        <v>168600</v>
      </c>
      <c r="G456" s="297">
        <v>168600</v>
      </c>
      <c r="H456" s="297"/>
      <c r="I456" s="297"/>
      <c r="J456" s="28">
        <v>168600</v>
      </c>
      <c r="K456" s="488">
        <f t="shared" si="97"/>
        <v>7384.6799999999994</v>
      </c>
      <c r="L456" s="469">
        <v>161215.32</v>
      </c>
      <c r="M456" s="297">
        <v>292200</v>
      </c>
      <c r="N456" s="297">
        <v>505800</v>
      </c>
    </row>
    <row r="457" spans="1:14" s="20" customFormat="1">
      <c r="A457" s="253"/>
      <c r="B457" s="231"/>
      <c r="C457" s="32" t="s">
        <v>47</v>
      </c>
      <c r="D457" s="77">
        <v>22020403</v>
      </c>
      <c r="E457" s="135" t="s">
        <v>781</v>
      </c>
      <c r="F457" s="138">
        <v>115000</v>
      </c>
      <c r="G457" s="297">
        <v>115000</v>
      </c>
      <c r="H457" s="297"/>
      <c r="I457" s="297"/>
      <c r="J457" s="28">
        <v>115000</v>
      </c>
      <c r="K457" s="488">
        <f t="shared" si="97"/>
        <v>5037</v>
      </c>
      <c r="L457" s="469">
        <v>109963</v>
      </c>
      <c r="M457" s="297">
        <v>45000</v>
      </c>
      <c r="N457" s="297">
        <v>45000</v>
      </c>
    </row>
    <row r="458" spans="1:14" s="20" customFormat="1">
      <c r="A458" s="253"/>
      <c r="B458" s="231"/>
      <c r="C458" s="32" t="s">
        <v>47</v>
      </c>
      <c r="D458" s="77">
        <v>22020404</v>
      </c>
      <c r="E458" s="135" t="s">
        <v>742</v>
      </c>
      <c r="F458" s="138">
        <v>150000</v>
      </c>
      <c r="G458" s="297">
        <v>150000</v>
      </c>
      <c r="H458" s="297"/>
      <c r="I458" s="297"/>
      <c r="J458" s="28">
        <v>150000</v>
      </c>
      <c r="K458" s="488">
        <f t="shared" si="97"/>
        <v>6570</v>
      </c>
      <c r="L458" s="469">
        <v>143430</v>
      </c>
      <c r="M458" s="297">
        <v>75000</v>
      </c>
      <c r="N458" s="297">
        <v>75000</v>
      </c>
    </row>
    <row r="459" spans="1:14" s="20" customFormat="1">
      <c r="A459" s="253"/>
      <c r="B459" s="231"/>
      <c r="C459" s="32" t="s">
        <v>47</v>
      </c>
      <c r="D459" s="77">
        <v>22020405</v>
      </c>
      <c r="E459" s="135" t="s">
        <v>743</v>
      </c>
      <c r="F459" s="138">
        <v>200000</v>
      </c>
      <c r="G459" s="297">
        <v>200000</v>
      </c>
      <c r="H459" s="297"/>
      <c r="I459" s="297"/>
      <c r="J459" s="28">
        <v>200000</v>
      </c>
      <c r="K459" s="488">
        <f t="shared" si="97"/>
        <v>8760</v>
      </c>
      <c r="L459" s="469">
        <v>191240</v>
      </c>
      <c r="M459" s="297">
        <v>200000</v>
      </c>
      <c r="N459" s="297">
        <v>200000</v>
      </c>
    </row>
    <row r="460" spans="1:14" s="20" customFormat="1">
      <c r="A460" s="253"/>
      <c r="B460" s="231"/>
      <c r="C460" s="32" t="s">
        <v>47</v>
      </c>
      <c r="D460" s="77">
        <v>22020605</v>
      </c>
      <c r="E460" s="135" t="s">
        <v>768</v>
      </c>
      <c r="F460" s="138">
        <v>200000</v>
      </c>
      <c r="G460" s="297">
        <v>200000</v>
      </c>
      <c r="H460" s="297"/>
      <c r="I460" s="297"/>
      <c r="J460" s="28">
        <v>200000</v>
      </c>
      <c r="K460" s="488">
        <f t="shared" si="97"/>
        <v>8760</v>
      </c>
      <c r="L460" s="469">
        <v>191240</v>
      </c>
      <c r="M460" s="297">
        <v>2220000</v>
      </c>
      <c r="N460" s="297">
        <v>1270000</v>
      </c>
    </row>
    <row r="461" spans="1:14" s="20" customFormat="1">
      <c r="A461" s="253"/>
      <c r="B461" s="231"/>
      <c r="C461" s="32" t="s">
        <v>47</v>
      </c>
      <c r="D461" s="77">
        <v>22020709</v>
      </c>
      <c r="E461" s="135" t="s">
        <v>771</v>
      </c>
      <c r="F461" s="138">
        <v>300000</v>
      </c>
      <c r="G461" s="297">
        <v>300000</v>
      </c>
      <c r="H461" s="297"/>
      <c r="I461" s="297"/>
      <c r="J461" s="28">
        <v>300000</v>
      </c>
      <c r="K461" s="488">
        <f t="shared" si="97"/>
        <v>13140</v>
      </c>
      <c r="L461" s="469">
        <v>286860</v>
      </c>
      <c r="M461" s="297">
        <v>500000</v>
      </c>
      <c r="N461" s="297">
        <v>500000</v>
      </c>
    </row>
    <row r="462" spans="1:14" s="20" customFormat="1">
      <c r="A462" s="253"/>
      <c r="B462" s="231"/>
      <c r="C462" s="32" t="s">
        <v>47</v>
      </c>
      <c r="D462" s="77">
        <v>22020801</v>
      </c>
      <c r="E462" s="135" t="s">
        <v>747</v>
      </c>
      <c r="F462" s="138">
        <v>348000</v>
      </c>
      <c r="G462" s="297">
        <v>348000</v>
      </c>
      <c r="H462" s="297"/>
      <c r="I462" s="297"/>
      <c r="J462" s="28">
        <v>348000</v>
      </c>
      <c r="K462" s="488">
        <f t="shared" si="97"/>
        <v>15242.4</v>
      </c>
      <c r="L462" s="469">
        <v>332757.60000000003</v>
      </c>
      <c r="M462" s="297">
        <v>348000</v>
      </c>
      <c r="N462" s="297">
        <v>348000</v>
      </c>
    </row>
    <row r="463" spans="1:14" s="20" customFormat="1">
      <c r="A463" s="253"/>
      <c r="B463" s="231"/>
      <c r="C463" s="32" t="s">
        <v>47</v>
      </c>
      <c r="D463" s="77">
        <v>22020803</v>
      </c>
      <c r="E463" s="135" t="s">
        <v>748</v>
      </c>
      <c r="F463" s="138">
        <v>216000</v>
      </c>
      <c r="G463" s="297">
        <v>216000</v>
      </c>
      <c r="H463" s="297"/>
      <c r="I463" s="297"/>
      <c r="J463" s="28">
        <v>216000</v>
      </c>
      <c r="K463" s="488">
        <f t="shared" si="97"/>
        <v>9460.7999999999993</v>
      </c>
      <c r="L463" s="469">
        <v>206539.2</v>
      </c>
      <c r="M463" s="297">
        <v>216000</v>
      </c>
      <c r="N463" s="297">
        <v>216000</v>
      </c>
    </row>
    <row r="464" spans="1:14" s="20" customFormat="1">
      <c r="A464" s="253"/>
      <c r="B464" s="231"/>
      <c r="C464" s="32" t="s">
        <v>47</v>
      </c>
      <c r="D464" s="77">
        <v>22020901</v>
      </c>
      <c r="E464" s="135" t="s">
        <v>749</v>
      </c>
      <c r="F464" s="138">
        <v>30000</v>
      </c>
      <c r="G464" s="297">
        <v>30000</v>
      </c>
      <c r="H464" s="297"/>
      <c r="I464" s="297"/>
      <c r="J464" s="28">
        <v>30000</v>
      </c>
      <c r="K464" s="488">
        <f t="shared" si="97"/>
        <v>1314</v>
      </c>
      <c r="L464" s="469">
        <v>28686</v>
      </c>
      <c r="M464" s="297">
        <v>3000</v>
      </c>
      <c r="N464" s="297">
        <v>6000</v>
      </c>
    </row>
    <row r="465" spans="1:14" s="20" customFormat="1">
      <c r="A465" s="253"/>
      <c r="B465" s="231"/>
      <c r="C465" s="32" t="s">
        <v>47</v>
      </c>
      <c r="D465" s="77">
        <v>22021001</v>
      </c>
      <c r="E465" s="135" t="s">
        <v>772</v>
      </c>
      <c r="F465" s="138">
        <v>345000</v>
      </c>
      <c r="G465" s="297">
        <v>345000</v>
      </c>
      <c r="H465" s="297"/>
      <c r="I465" s="297"/>
      <c r="J465" s="28">
        <v>345000</v>
      </c>
      <c r="K465" s="488">
        <f t="shared" si="97"/>
        <v>15111</v>
      </c>
      <c r="L465" s="469">
        <v>329889</v>
      </c>
      <c r="M465" s="297">
        <v>225000</v>
      </c>
      <c r="N465" s="297">
        <v>225000</v>
      </c>
    </row>
    <row r="466" spans="1:14" s="20" customFormat="1">
      <c r="A466" s="253"/>
      <c r="B466" s="231"/>
      <c r="C466" s="32" t="s">
        <v>47</v>
      </c>
      <c r="D466" s="77">
        <v>22021003</v>
      </c>
      <c r="E466" s="135" t="s">
        <v>760</v>
      </c>
      <c r="F466" s="138">
        <v>285000</v>
      </c>
      <c r="G466" s="297">
        <v>285000</v>
      </c>
      <c r="H466" s="297"/>
      <c r="I466" s="297"/>
      <c r="J466" s="28">
        <v>285000</v>
      </c>
      <c r="K466" s="488">
        <f t="shared" si="97"/>
        <v>12483</v>
      </c>
      <c r="L466" s="469">
        <v>272517</v>
      </c>
      <c r="M466" s="297">
        <v>285000</v>
      </c>
      <c r="N466" s="297">
        <v>285000</v>
      </c>
    </row>
    <row r="467" spans="1:14" s="20" customFormat="1">
      <c r="A467" s="238"/>
      <c r="B467" s="231"/>
      <c r="C467" s="30" t="s">
        <v>1837</v>
      </c>
      <c r="D467" s="23"/>
      <c r="E467" s="25"/>
      <c r="F467" s="137">
        <f>SUM(F451:F466)</f>
        <v>4572905</v>
      </c>
      <c r="G467" s="114">
        <f>SUM(G451:G466)</f>
        <v>4572905</v>
      </c>
      <c r="H467" s="114">
        <f t="shared" ref="H467:I467" si="98">SUM(H451:H466)</f>
        <v>0</v>
      </c>
      <c r="I467" s="114">
        <f t="shared" si="98"/>
        <v>0</v>
      </c>
      <c r="J467" s="114">
        <f>SUM(J451:J466)</f>
        <v>4572905</v>
      </c>
      <c r="K467" s="490">
        <f>SUM(K451:K466)</f>
        <v>200293.23899999997</v>
      </c>
      <c r="L467" s="468">
        <f>SUM(L451:L466)</f>
        <v>4372611.7609999999</v>
      </c>
      <c r="M467" s="114">
        <f>SUM(M451:M466)</f>
        <v>6762505</v>
      </c>
      <c r="N467" s="114">
        <f>SUM(N451:N466)</f>
        <v>6576105</v>
      </c>
    </row>
    <row r="468" spans="1:14" s="66" customFormat="1" ht="30">
      <c r="A468" s="238" t="s">
        <v>835</v>
      </c>
      <c r="B468" s="231" t="s">
        <v>1856</v>
      </c>
      <c r="C468" s="30"/>
      <c r="D468" s="23"/>
      <c r="E468" s="25"/>
      <c r="F468" s="137">
        <f>F467+F450</f>
        <v>46655594.768000007</v>
      </c>
      <c r="G468" s="114">
        <f>G467+G450</f>
        <v>46655594.768000007</v>
      </c>
      <c r="H468" s="114">
        <f t="shared" ref="H468:I468" si="99">H467+H450</f>
        <v>0</v>
      </c>
      <c r="I468" s="114">
        <f t="shared" si="99"/>
        <v>0</v>
      </c>
      <c r="J468" s="114">
        <f>J467+J450</f>
        <v>46655594.768000007</v>
      </c>
      <c r="K468" s="490"/>
      <c r="L468" s="468">
        <f>L467+L450</f>
        <v>46455301.529000007</v>
      </c>
      <c r="M468" s="114">
        <f>M467+M450</f>
        <v>53053463.744800016</v>
      </c>
      <c r="N468" s="114">
        <f>N467+N450</f>
        <v>57496159.619280018</v>
      </c>
    </row>
    <row r="469" spans="1:14" s="20" customFormat="1" ht="21">
      <c r="A469" s="252"/>
      <c r="B469" s="443"/>
      <c r="C469" s="228"/>
      <c r="D469" s="229"/>
      <c r="E469" s="230"/>
      <c r="F469" s="215"/>
      <c r="G469" s="296"/>
      <c r="H469" s="296"/>
      <c r="I469" s="296"/>
      <c r="J469" s="28"/>
      <c r="K469" s="488"/>
      <c r="L469" s="468"/>
      <c r="M469" s="296"/>
      <c r="N469" s="296"/>
    </row>
    <row r="470" spans="1:14" s="20" customFormat="1">
      <c r="A470" s="238" t="s">
        <v>839</v>
      </c>
      <c r="B470" s="231" t="s">
        <v>840</v>
      </c>
      <c r="C470" s="32" t="s">
        <v>46</v>
      </c>
      <c r="D470" s="77"/>
      <c r="E470" s="135"/>
      <c r="F470" s="136">
        <v>13709514</v>
      </c>
      <c r="G470" s="28">
        <v>13709514</v>
      </c>
      <c r="H470" s="28"/>
      <c r="I470" s="28"/>
      <c r="J470" s="28">
        <v>13709514</v>
      </c>
      <c r="K470" s="488"/>
      <c r="L470" s="467">
        <v>13709514</v>
      </c>
      <c r="M470" s="28">
        <v>14101322</v>
      </c>
      <c r="N470" s="28">
        <v>14449229</v>
      </c>
    </row>
    <row r="471" spans="1:14" s="20" customFormat="1">
      <c r="A471" s="253"/>
      <c r="B471" s="231"/>
      <c r="C471" s="30" t="s">
        <v>1836</v>
      </c>
      <c r="D471" s="23"/>
      <c r="E471" s="25"/>
      <c r="F471" s="137">
        <f>SUM(F470)</f>
        <v>13709514</v>
      </c>
      <c r="G471" s="114">
        <f>SUM(G470)</f>
        <v>13709514</v>
      </c>
      <c r="H471" s="114">
        <f t="shared" ref="H471:M471" si="100">SUM(H470)</f>
        <v>0</v>
      </c>
      <c r="I471" s="114">
        <f t="shared" si="100"/>
        <v>0</v>
      </c>
      <c r="J471" s="114">
        <f>SUM(J470)</f>
        <v>13709514</v>
      </c>
      <c r="K471" s="490"/>
      <c r="L471" s="468">
        <f>SUM(L470)</f>
        <v>13709514</v>
      </c>
      <c r="M471" s="114">
        <f t="shared" si="100"/>
        <v>14101322</v>
      </c>
      <c r="N471" s="114">
        <f>SUM(N470)</f>
        <v>14449229</v>
      </c>
    </row>
    <row r="472" spans="1:14" s="20" customFormat="1">
      <c r="A472" s="253"/>
      <c r="B472" s="231"/>
      <c r="C472" s="32" t="s">
        <v>47</v>
      </c>
      <c r="D472" s="77">
        <v>22020105</v>
      </c>
      <c r="E472" s="135" t="s">
        <v>1733</v>
      </c>
      <c r="F472" s="136">
        <v>720000</v>
      </c>
      <c r="G472" s="28">
        <v>720000</v>
      </c>
      <c r="H472" s="28"/>
      <c r="I472" s="28"/>
      <c r="J472" s="28">
        <v>720000</v>
      </c>
      <c r="K472" s="488">
        <f>J472*4.38%</f>
        <v>31536</v>
      </c>
      <c r="L472" s="469">
        <v>688464</v>
      </c>
      <c r="M472" s="28">
        <v>716000</v>
      </c>
      <c r="N472" s="28">
        <v>716000</v>
      </c>
    </row>
    <row r="473" spans="1:14" s="20" customFormat="1">
      <c r="A473" s="253"/>
      <c r="B473" s="231"/>
      <c r="C473" s="32" t="s">
        <v>47</v>
      </c>
      <c r="D473" s="77">
        <v>22020204</v>
      </c>
      <c r="E473" s="135" t="s">
        <v>780</v>
      </c>
      <c r="F473" s="136">
        <v>180000</v>
      </c>
      <c r="G473" s="28">
        <v>180000</v>
      </c>
      <c r="H473" s="28"/>
      <c r="I473" s="28"/>
      <c r="J473" s="28">
        <v>180000</v>
      </c>
      <c r="K473" s="488">
        <f t="shared" ref="K473:K489" si="101">J473*4.38%</f>
        <v>7884</v>
      </c>
      <c r="L473" s="469">
        <v>172116</v>
      </c>
      <c r="M473" s="28">
        <v>180000</v>
      </c>
      <c r="N473" s="28">
        <f>M473*10%+M473</f>
        <v>198000</v>
      </c>
    </row>
    <row r="474" spans="1:14" s="20" customFormat="1">
      <c r="A474" s="253"/>
      <c r="B474" s="231"/>
      <c r="C474" s="32" t="s">
        <v>47</v>
      </c>
      <c r="D474" s="77">
        <v>22020301</v>
      </c>
      <c r="E474" s="135" t="s">
        <v>737</v>
      </c>
      <c r="F474" s="136">
        <v>415000</v>
      </c>
      <c r="G474" s="28">
        <v>415000</v>
      </c>
      <c r="H474" s="28"/>
      <c r="I474" s="28"/>
      <c r="J474" s="28">
        <v>415000</v>
      </c>
      <c r="K474" s="488">
        <f t="shared" si="101"/>
        <v>18177</v>
      </c>
      <c r="L474" s="469">
        <v>396823</v>
      </c>
      <c r="M474" s="28">
        <v>415000</v>
      </c>
      <c r="N474" s="28">
        <v>415000</v>
      </c>
    </row>
    <row r="475" spans="1:14" s="20" customFormat="1">
      <c r="A475" s="253"/>
      <c r="B475" s="231"/>
      <c r="C475" s="32" t="s">
        <v>47</v>
      </c>
      <c r="D475" s="77">
        <v>22020305</v>
      </c>
      <c r="E475" s="135" t="s">
        <v>755</v>
      </c>
      <c r="F475" s="136">
        <v>90000</v>
      </c>
      <c r="G475" s="28">
        <v>90000</v>
      </c>
      <c r="H475" s="28"/>
      <c r="I475" s="28"/>
      <c r="J475" s="28">
        <v>90000</v>
      </c>
      <c r="K475" s="488">
        <f t="shared" si="101"/>
        <v>3942</v>
      </c>
      <c r="L475" s="469">
        <v>86058</v>
      </c>
      <c r="M475" s="28">
        <v>90000</v>
      </c>
      <c r="N475" s="28">
        <v>90000</v>
      </c>
    </row>
    <row r="476" spans="1:14" s="20" customFormat="1">
      <c r="A476" s="253"/>
      <c r="B476" s="231"/>
      <c r="C476" s="32" t="s">
        <v>47</v>
      </c>
      <c r="D476" s="77">
        <v>22020315</v>
      </c>
      <c r="E476" s="135" t="s">
        <v>740</v>
      </c>
      <c r="F476" s="136">
        <v>120000</v>
      </c>
      <c r="G476" s="28">
        <v>120000</v>
      </c>
      <c r="H476" s="28"/>
      <c r="I476" s="28"/>
      <c r="J476" s="28">
        <v>120000</v>
      </c>
      <c r="K476" s="488">
        <f t="shared" si="101"/>
        <v>5256</v>
      </c>
      <c r="L476" s="469">
        <v>114744</v>
      </c>
      <c r="M476" s="28">
        <v>120000</v>
      </c>
      <c r="N476" s="28">
        <v>120000</v>
      </c>
    </row>
    <row r="477" spans="1:14" s="20" customFormat="1">
      <c r="A477" s="253"/>
      <c r="B477" s="231"/>
      <c r="C477" s="32" t="s">
        <v>47</v>
      </c>
      <c r="D477" s="77">
        <v>22020401</v>
      </c>
      <c r="E477" s="135" t="s">
        <v>741</v>
      </c>
      <c r="F477" s="136">
        <v>510000</v>
      </c>
      <c r="G477" s="28">
        <v>510000</v>
      </c>
      <c r="H477" s="28"/>
      <c r="I477" s="28"/>
      <c r="J477" s="28">
        <v>510000</v>
      </c>
      <c r="K477" s="488">
        <f t="shared" si="101"/>
        <v>22338</v>
      </c>
      <c r="L477" s="469">
        <v>487662</v>
      </c>
      <c r="M477" s="28">
        <v>192000</v>
      </c>
      <c r="N477" s="28">
        <v>260000</v>
      </c>
    </row>
    <row r="478" spans="1:14" s="20" customFormat="1">
      <c r="A478" s="253"/>
      <c r="B478" s="231"/>
      <c r="C478" s="32" t="s">
        <v>47</v>
      </c>
      <c r="D478" s="77">
        <v>22020402</v>
      </c>
      <c r="E478" s="135" t="s">
        <v>757</v>
      </c>
      <c r="F478" s="136">
        <v>128000</v>
      </c>
      <c r="G478" s="28">
        <v>128000</v>
      </c>
      <c r="H478" s="28"/>
      <c r="I478" s="28"/>
      <c r="J478" s="28">
        <v>128000</v>
      </c>
      <c r="K478" s="488">
        <f t="shared" si="101"/>
        <v>5606.4</v>
      </c>
      <c r="L478" s="469">
        <v>122393.60000000001</v>
      </c>
      <c r="M478" s="28">
        <v>128000</v>
      </c>
      <c r="N478" s="28">
        <v>128000</v>
      </c>
    </row>
    <row r="479" spans="1:14" s="20" customFormat="1">
      <c r="A479" s="253"/>
      <c r="B479" s="231"/>
      <c r="C479" s="32" t="s">
        <v>47</v>
      </c>
      <c r="D479" s="77">
        <v>22020404</v>
      </c>
      <c r="E479" s="135" t="s">
        <v>742</v>
      </c>
      <c r="F479" s="136">
        <v>65000</v>
      </c>
      <c r="G479" s="28">
        <v>65000</v>
      </c>
      <c r="H479" s="28"/>
      <c r="I479" s="28"/>
      <c r="J479" s="28">
        <v>65000</v>
      </c>
      <c r="K479" s="488">
        <f t="shared" si="101"/>
        <v>2847</v>
      </c>
      <c r="L479" s="469">
        <v>62153</v>
      </c>
      <c r="M479" s="28">
        <v>65000</v>
      </c>
      <c r="N479" s="28">
        <v>65000</v>
      </c>
    </row>
    <row r="480" spans="1:14" s="20" customFormat="1">
      <c r="A480" s="253"/>
      <c r="B480" s="231"/>
      <c r="C480" s="32" t="s">
        <v>47</v>
      </c>
      <c r="D480" s="77">
        <v>22020405</v>
      </c>
      <c r="E480" s="135" t="s">
        <v>743</v>
      </c>
      <c r="F480" s="136">
        <v>290000</v>
      </c>
      <c r="G480" s="28">
        <v>290000</v>
      </c>
      <c r="H480" s="28"/>
      <c r="I480" s="28"/>
      <c r="J480" s="28">
        <v>290000</v>
      </c>
      <c r="K480" s="488">
        <f t="shared" si="101"/>
        <v>12702</v>
      </c>
      <c r="L480" s="469">
        <v>277298</v>
      </c>
      <c r="M480" s="28">
        <v>270000</v>
      </c>
      <c r="N480" s="28">
        <v>290000</v>
      </c>
    </row>
    <row r="481" spans="1:14" s="20" customFormat="1">
      <c r="A481" s="253"/>
      <c r="B481" s="231"/>
      <c r="C481" s="32" t="s">
        <v>47</v>
      </c>
      <c r="D481" s="77">
        <v>22020411</v>
      </c>
      <c r="E481" s="135" t="s">
        <v>842</v>
      </c>
      <c r="F481" s="136">
        <v>180000</v>
      </c>
      <c r="G481" s="28">
        <v>180000</v>
      </c>
      <c r="H481" s="28"/>
      <c r="I481" s="28"/>
      <c r="J481" s="28">
        <v>180000</v>
      </c>
      <c r="K481" s="488">
        <f t="shared" si="101"/>
        <v>7884</v>
      </c>
      <c r="L481" s="469">
        <v>172116</v>
      </c>
      <c r="M481" s="28">
        <f>G481*10%+G481</f>
        <v>198000</v>
      </c>
      <c r="N481" s="28">
        <f>M481*10%+M481</f>
        <v>217800</v>
      </c>
    </row>
    <row r="482" spans="1:14" s="20" customFormat="1">
      <c r="A482" s="253"/>
      <c r="B482" s="231"/>
      <c r="C482" s="32" t="s">
        <v>47</v>
      </c>
      <c r="D482" s="77">
        <v>22020505</v>
      </c>
      <c r="E482" s="135" t="s">
        <v>843</v>
      </c>
      <c r="F482" s="136">
        <v>120000</v>
      </c>
      <c r="G482" s="28">
        <v>120000</v>
      </c>
      <c r="H482" s="28"/>
      <c r="I482" s="28"/>
      <c r="J482" s="28">
        <v>120000</v>
      </c>
      <c r="K482" s="488">
        <f t="shared" si="101"/>
        <v>5256</v>
      </c>
      <c r="L482" s="469">
        <v>114744</v>
      </c>
      <c r="M482" s="28">
        <v>120000</v>
      </c>
      <c r="N482" s="28">
        <v>120000</v>
      </c>
    </row>
    <row r="483" spans="1:14" s="20" customFormat="1">
      <c r="A483" s="253"/>
      <c r="B483" s="231"/>
      <c r="C483" s="32" t="s">
        <v>47</v>
      </c>
      <c r="D483" s="77">
        <v>22020605</v>
      </c>
      <c r="E483" s="135" t="s">
        <v>768</v>
      </c>
      <c r="F483" s="136">
        <v>66000</v>
      </c>
      <c r="G483" s="28">
        <v>66000</v>
      </c>
      <c r="H483" s="28"/>
      <c r="I483" s="28"/>
      <c r="J483" s="28">
        <v>66000</v>
      </c>
      <c r="K483" s="488">
        <f t="shared" si="101"/>
        <v>2890.7999999999997</v>
      </c>
      <c r="L483" s="469">
        <v>63109.200000000004</v>
      </c>
      <c r="M483" s="28">
        <v>66000</v>
      </c>
      <c r="N483" s="28">
        <v>66000</v>
      </c>
    </row>
    <row r="484" spans="1:14" s="20" customFormat="1">
      <c r="A484" s="253"/>
      <c r="B484" s="231"/>
      <c r="C484" s="32" t="s">
        <v>47</v>
      </c>
      <c r="D484" s="77">
        <v>22020709</v>
      </c>
      <c r="E484" s="135" t="s">
        <v>771</v>
      </c>
      <c r="F484" s="136">
        <v>400000</v>
      </c>
      <c r="G484" s="28">
        <v>400000</v>
      </c>
      <c r="H484" s="28"/>
      <c r="I484" s="28"/>
      <c r="J484" s="28">
        <v>400000</v>
      </c>
      <c r="K484" s="488">
        <f t="shared" si="101"/>
        <v>17520</v>
      </c>
      <c r="L484" s="469">
        <v>382480</v>
      </c>
      <c r="M484" s="28">
        <v>400000</v>
      </c>
      <c r="N484" s="28">
        <v>400000</v>
      </c>
    </row>
    <row r="485" spans="1:14" s="20" customFormat="1">
      <c r="A485" s="253"/>
      <c r="B485" s="231"/>
      <c r="C485" s="32" t="s">
        <v>47</v>
      </c>
      <c r="D485" s="77">
        <v>22020801</v>
      </c>
      <c r="E485" s="135" t="s">
        <v>747</v>
      </c>
      <c r="F485" s="136">
        <v>384000</v>
      </c>
      <c r="G485" s="28">
        <v>384000</v>
      </c>
      <c r="H485" s="28"/>
      <c r="I485" s="28"/>
      <c r="J485" s="28">
        <v>384000</v>
      </c>
      <c r="K485" s="488">
        <f t="shared" si="101"/>
        <v>16819.2</v>
      </c>
      <c r="L485" s="469">
        <v>367180.80000000005</v>
      </c>
      <c r="M485" s="28">
        <v>384000</v>
      </c>
      <c r="N485" s="28">
        <v>384000</v>
      </c>
    </row>
    <row r="486" spans="1:14" s="20" customFormat="1">
      <c r="A486" s="253"/>
      <c r="B486" s="231"/>
      <c r="C486" s="32" t="s">
        <v>47</v>
      </c>
      <c r="D486" s="77">
        <v>22020803</v>
      </c>
      <c r="E486" s="135" t="s">
        <v>748</v>
      </c>
      <c r="F486" s="136">
        <v>300000</v>
      </c>
      <c r="G486" s="28">
        <v>300000</v>
      </c>
      <c r="H486" s="28"/>
      <c r="I486" s="28"/>
      <c r="J486" s="28">
        <v>300000</v>
      </c>
      <c r="K486" s="488">
        <f t="shared" si="101"/>
        <v>13140</v>
      </c>
      <c r="L486" s="469">
        <v>286860</v>
      </c>
      <c r="M486" s="28">
        <v>300000</v>
      </c>
      <c r="N486" s="28">
        <v>300000</v>
      </c>
    </row>
    <row r="487" spans="1:14" s="20" customFormat="1">
      <c r="A487" s="253"/>
      <c r="B487" s="231"/>
      <c r="C487" s="32" t="s">
        <v>47</v>
      </c>
      <c r="D487" s="77">
        <v>22020901</v>
      </c>
      <c r="E487" s="135" t="s">
        <v>749</v>
      </c>
      <c r="F487" s="136">
        <v>5676.96</v>
      </c>
      <c r="G487" s="28">
        <v>5676.96</v>
      </c>
      <c r="H487" s="28"/>
      <c r="I487" s="28"/>
      <c r="J487" s="28">
        <v>5676.96</v>
      </c>
      <c r="K487" s="488">
        <f t="shared" si="101"/>
        <v>248.650848</v>
      </c>
      <c r="L487" s="469">
        <v>5428.3091520000007</v>
      </c>
      <c r="M487" s="28">
        <v>5676.96</v>
      </c>
      <c r="N487" s="28">
        <v>5676.96</v>
      </c>
    </row>
    <row r="488" spans="1:14" s="20" customFormat="1">
      <c r="A488" s="253"/>
      <c r="B488" s="231"/>
      <c r="C488" s="32" t="s">
        <v>47</v>
      </c>
      <c r="D488" s="77">
        <v>22021001</v>
      </c>
      <c r="E488" s="135" t="s">
        <v>772</v>
      </c>
      <c r="F488" s="136">
        <v>234000</v>
      </c>
      <c r="G488" s="28">
        <v>234000</v>
      </c>
      <c r="H488" s="28"/>
      <c r="I488" s="28"/>
      <c r="J488" s="28">
        <v>234000</v>
      </c>
      <c r="K488" s="488">
        <f t="shared" si="101"/>
        <v>10249.199999999999</v>
      </c>
      <c r="L488" s="469">
        <v>223750.80000000002</v>
      </c>
      <c r="M488" s="28">
        <v>234000</v>
      </c>
      <c r="N488" s="28">
        <v>234000</v>
      </c>
    </row>
    <row r="489" spans="1:14" s="20" customFormat="1">
      <c r="A489" s="253"/>
      <c r="B489" s="231"/>
      <c r="C489" s="32" t="s">
        <v>47</v>
      </c>
      <c r="D489" s="77">
        <v>22021003</v>
      </c>
      <c r="E489" s="135" t="s">
        <v>2074</v>
      </c>
      <c r="F489" s="136">
        <v>511400</v>
      </c>
      <c r="G489" s="28">
        <v>511400</v>
      </c>
      <c r="H489" s="28"/>
      <c r="I489" s="28"/>
      <c r="J489" s="28">
        <v>511400</v>
      </c>
      <c r="K489" s="488">
        <f t="shared" si="101"/>
        <v>22399.32</v>
      </c>
      <c r="L489" s="469">
        <v>489000.68000000005</v>
      </c>
      <c r="M489" s="28">
        <v>511400</v>
      </c>
      <c r="N489" s="28">
        <v>511400</v>
      </c>
    </row>
    <row r="490" spans="1:14" s="20" customFormat="1">
      <c r="A490" s="238"/>
      <c r="B490" s="231"/>
      <c r="C490" s="30" t="s">
        <v>1839</v>
      </c>
      <c r="D490" s="23"/>
      <c r="E490" s="25"/>
      <c r="F490" s="137">
        <f>SUM(F472:F489)</f>
        <v>4719076.96</v>
      </c>
      <c r="G490" s="114">
        <f>SUM(G472:G489)</f>
        <v>4719076.96</v>
      </c>
      <c r="H490" s="114">
        <f t="shared" ref="H490:I490" si="102">SUM(H472:H489)</f>
        <v>0</v>
      </c>
      <c r="I490" s="114">
        <f t="shared" si="102"/>
        <v>0</v>
      </c>
      <c r="J490" s="114">
        <f>SUM(J472:J489)</f>
        <v>4719076.96</v>
      </c>
      <c r="K490" s="490">
        <f>SUM(K472:K489)</f>
        <v>206695.57084800003</v>
      </c>
      <c r="L490" s="468">
        <f>SUM(L472:L489)</f>
        <v>4512381.3891520007</v>
      </c>
      <c r="M490" s="114">
        <f>SUM(M472:M489)</f>
        <v>4395076.96</v>
      </c>
      <c r="N490" s="114">
        <f>SUM(N472:N489)</f>
        <v>4520876.96</v>
      </c>
    </row>
    <row r="491" spans="1:14" s="66" customFormat="1" ht="30">
      <c r="A491" s="238" t="s">
        <v>839</v>
      </c>
      <c r="B491" s="231" t="s">
        <v>1857</v>
      </c>
      <c r="C491" s="30"/>
      <c r="D491" s="23"/>
      <c r="E491" s="25"/>
      <c r="F491" s="137">
        <f>F490+F471</f>
        <v>18428590.960000001</v>
      </c>
      <c r="G491" s="114">
        <f>G490+G471</f>
        <v>18428590.960000001</v>
      </c>
      <c r="H491" s="114">
        <f t="shared" ref="H491:I491" si="103">H490+H471</f>
        <v>0</v>
      </c>
      <c r="I491" s="114">
        <f t="shared" si="103"/>
        <v>0</v>
      </c>
      <c r="J491" s="114">
        <f>J490+J471</f>
        <v>18428590.960000001</v>
      </c>
      <c r="K491" s="490"/>
      <c r="L491" s="468">
        <f>L490+L471</f>
        <v>18221895.389152002</v>
      </c>
      <c r="M491" s="114">
        <f>M490+M471</f>
        <v>18496398.960000001</v>
      </c>
      <c r="N491" s="114">
        <f>N490+N471</f>
        <v>18970105.960000001</v>
      </c>
    </row>
    <row r="492" spans="1:14" s="20" customFormat="1" ht="21">
      <c r="A492" s="252"/>
      <c r="B492" s="443"/>
      <c r="C492" s="228"/>
      <c r="D492" s="229"/>
      <c r="E492" s="230"/>
      <c r="F492" s="215"/>
      <c r="G492" s="296"/>
      <c r="H492" s="296"/>
      <c r="I492" s="296"/>
      <c r="J492" s="28"/>
      <c r="K492" s="488"/>
      <c r="L492" s="468"/>
      <c r="M492" s="296"/>
      <c r="N492" s="296"/>
    </row>
    <row r="493" spans="1:14" s="20" customFormat="1">
      <c r="A493" s="238" t="s">
        <v>844</v>
      </c>
      <c r="B493" s="231" t="s">
        <v>100</v>
      </c>
      <c r="C493" s="32" t="s">
        <v>46</v>
      </c>
      <c r="D493" s="77"/>
      <c r="E493" s="135"/>
      <c r="F493" s="217">
        <v>589465529.80000007</v>
      </c>
      <c r="G493" s="298">
        <v>589465529.80000007</v>
      </c>
      <c r="H493" s="298">
        <v>87978435</v>
      </c>
      <c r="I493" s="298"/>
      <c r="J493" s="28">
        <v>677443964.80000007</v>
      </c>
      <c r="K493" s="488"/>
      <c r="L493" s="467">
        <v>677443964.80000007</v>
      </c>
      <c r="M493" s="28">
        <f>G493*10%+G493</f>
        <v>648412082.78000009</v>
      </c>
      <c r="N493" s="28">
        <f>M493*10%+M493</f>
        <v>713253291.05800009</v>
      </c>
    </row>
    <row r="494" spans="1:14" s="20" customFormat="1">
      <c r="A494" s="253"/>
      <c r="B494" s="231"/>
      <c r="C494" s="30" t="s">
        <v>1858</v>
      </c>
      <c r="D494" s="23"/>
      <c r="E494" s="25"/>
      <c r="F494" s="137">
        <f>SUM(F493)</f>
        <v>589465529.80000007</v>
      </c>
      <c r="G494" s="114">
        <f>SUM(G493)</f>
        <v>589465529.80000007</v>
      </c>
      <c r="H494" s="114">
        <f>SUM(H493)</f>
        <v>87978435</v>
      </c>
      <c r="I494" s="114">
        <f t="shared" ref="I494:M494" si="104">SUM(I493)</f>
        <v>0</v>
      </c>
      <c r="J494" s="114">
        <f>SUM(J493)</f>
        <v>677443964.80000007</v>
      </c>
      <c r="K494" s="490"/>
      <c r="L494" s="468">
        <f>SUM(L493)</f>
        <v>677443964.80000007</v>
      </c>
      <c r="M494" s="114">
        <f t="shared" si="104"/>
        <v>648412082.78000009</v>
      </c>
      <c r="N494" s="114">
        <f>SUM(N493)</f>
        <v>713253291.05800009</v>
      </c>
    </row>
    <row r="495" spans="1:14" s="20" customFormat="1">
      <c r="A495" s="253"/>
      <c r="B495" s="231"/>
      <c r="C495" s="32" t="s">
        <v>47</v>
      </c>
      <c r="D495" s="77">
        <v>22010109</v>
      </c>
      <c r="E495" s="135" t="s">
        <v>845</v>
      </c>
      <c r="F495" s="138">
        <v>16046700</v>
      </c>
      <c r="G495" s="297">
        <v>0</v>
      </c>
      <c r="H495" s="297">
        <v>16046700</v>
      </c>
      <c r="I495" s="297"/>
      <c r="J495" s="28">
        <v>16046700</v>
      </c>
      <c r="K495" s="488">
        <f>J495*4.38%</f>
        <v>702845.46</v>
      </c>
      <c r="L495" s="469">
        <v>15343854.540000001</v>
      </c>
      <c r="M495" s="297">
        <v>16849035</v>
      </c>
      <c r="N495" s="297">
        <v>17651370</v>
      </c>
    </row>
    <row r="496" spans="1:14" s="20" customFormat="1">
      <c r="A496" s="253"/>
      <c r="B496" s="231"/>
      <c r="C496" s="32" t="s">
        <v>47</v>
      </c>
      <c r="D496" s="77">
        <v>22020101</v>
      </c>
      <c r="E496" s="135" t="s">
        <v>841</v>
      </c>
      <c r="F496" s="138">
        <v>750000</v>
      </c>
      <c r="G496" s="297">
        <v>750000</v>
      </c>
      <c r="H496" s="297"/>
      <c r="I496" s="297"/>
      <c r="J496" s="28">
        <v>750000</v>
      </c>
      <c r="K496" s="488">
        <f t="shared" ref="K496:K533" si="105">J496*4.38%</f>
        <v>32850</v>
      </c>
      <c r="L496" s="469">
        <v>717150</v>
      </c>
      <c r="M496" s="297">
        <v>787500</v>
      </c>
      <c r="N496" s="297">
        <v>825000</v>
      </c>
    </row>
    <row r="497" spans="1:14" s="20" customFormat="1">
      <c r="A497" s="253"/>
      <c r="B497" s="231"/>
      <c r="C497" s="32" t="s">
        <v>47</v>
      </c>
      <c r="D497" s="77">
        <v>22020105</v>
      </c>
      <c r="E497" s="135" t="s">
        <v>736</v>
      </c>
      <c r="F497" s="138">
        <v>24880000</v>
      </c>
      <c r="G497" s="297">
        <v>24880000</v>
      </c>
      <c r="H497" s="297"/>
      <c r="I497" s="297"/>
      <c r="J497" s="28">
        <v>24880000</v>
      </c>
      <c r="K497" s="488">
        <f t="shared" si="105"/>
        <v>1089744</v>
      </c>
      <c r="L497" s="469">
        <v>23790256</v>
      </c>
      <c r="M497" s="297">
        <v>26124000</v>
      </c>
      <c r="N497" s="297">
        <v>27368000</v>
      </c>
    </row>
    <row r="498" spans="1:14" s="20" customFormat="1">
      <c r="A498" s="253"/>
      <c r="B498" s="231"/>
      <c r="C498" s="32" t="s">
        <v>47</v>
      </c>
      <c r="D498" s="77">
        <v>22020106</v>
      </c>
      <c r="E498" s="135" t="s">
        <v>846</v>
      </c>
      <c r="F498" s="138">
        <v>169839960</v>
      </c>
      <c r="G498" s="297">
        <v>135544000</v>
      </c>
      <c r="H498" s="297">
        <v>34295960</v>
      </c>
      <c r="I498" s="297"/>
      <c r="J498" s="28">
        <v>169839960</v>
      </c>
      <c r="K498" s="488">
        <f t="shared" si="105"/>
        <v>7438990.2479999997</v>
      </c>
      <c r="L498" s="469">
        <v>162400969.752</v>
      </c>
      <c r="M498" s="297">
        <v>178331958</v>
      </c>
      <c r="N498" s="297">
        <v>186823956</v>
      </c>
    </row>
    <row r="499" spans="1:14" s="20" customFormat="1">
      <c r="A499" s="253"/>
      <c r="B499" s="231"/>
      <c r="C499" s="32" t="s">
        <v>47</v>
      </c>
      <c r="D499" s="77">
        <v>22020110</v>
      </c>
      <c r="E499" s="135" t="s">
        <v>847</v>
      </c>
      <c r="F499" s="138">
        <v>29300000</v>
      </c>
      <c r="G499" s="297">
        <v>23052000</v>
      </c>
      <c r="H499" s="297">
        <v>6248000</v>
      </c>
      <c r="I499" s="297"/>
      <c r="J499" s="28">
        <v>29300000</v>
      </c>
      <c r="K499" s="488">
        <f t="shared" si="105"/>
        <v>1283340</v>
      </c>
      <c r="L499" s="469">
        <v>28016660</v>
      </c>
      <c r="M499" s="297">
        <v>30765000</v>
      </c>
      <c r="N499" s="297">
        <v>32230000.000000004</v>
      </c>
    </row>
    <row r="500" spans="1:14" s="20" customFormat="1">
      <c r="A500" s="253"/>
      <c r="B500" s="231"/>
      <c r="C500" s="32" t="s">
        <v>47</v>
      </c>
      <c r="D500" s="77">
        <v>22020112</v>
      </c>
      <c r="E500" s="135" t="s">
        <v>848</v>
      </c>
      <c r="F500" s="138">
        <v>34900000</v>
      </c>
      <c r="G500" s="297">
        <v>9657000</v>
      </c>
      <c r="H500" s="297"/>
      <c r="I500" s="297"/>
      <c r="J500" s="28">
        <v>9657000</v>
      </c>
      <c r="K500" s="488">
        <f t="shared" si="105"/>
        <v>422976.6</v>
      </c>
      <c r="L500" s="469">
        <v>9234023.4000000004</v>
      </c>
      <c r="M500" s="297">
        <v>36645000</v>
      </c>
      <c r="N500" s="297">
        <v>38390000</v>
      </c>
    </row>
    <row r="501" spans="1:14" s="20" customFormat="1">
      <c r="A501" s="253"/>
      <c r="B501" s="231"/>
      <c r="C501" s="32" t="s">
        <v>47</v>
      </c>
      <c r="D501" s="77">
        <v>22020114</v>
      </c>
      <c r="E501" s="135" t="s">
        <v>830</v>
      </c>
      <c r="F501" s="138">
        <v>9975000</v>
      </c>
      <c r="G501" s="297">
        <v>5000000</v>
      </c>
      <c r="H501" s="297"/>
      <c r="I501" s="297"/>
      <c r="J501" s="28">
        <v>5000000</v>
      </c>
      <c r="K501" s="488">
        <f t="shared" si="105"/>
        <v>219000</v>
      </c>
      <c r="L501" s="469">
        <v>4781000</v>
      </c>
      <c r="M501" s="297">
        <v>10473750</v>
      </c>
      <c r="N501" s="297">
        <v>10972500</v>
      </c>
    </row>
    <row r="502" spans="1:14" s="20" customFormat="1">
      <c r="A502" s="253"/>
      <c r="B502" s="231"/>
      <c r="C502" s="32" t="s">
        <v>47</v>
      </c>
      <c r="D502" s="77">
        <v>22020201</v>
      </c>
      <c r="E502" s="135" t="s">
        <v>849</v>
      </c>
      <c r="F502" s="138">
        <v>6000000</v>
      </c>
      <c r="G502" s="297">
        <v>6000000</v>
      </c>
      <c r="H502" s="297"/>
      <c r="I502" s="297"/>
      <c r="J502" s="28">
        <v>6000000</v>
      </c>
      <c r="K502" s="488">
        <f t="shared" si="105"/>
        <v>262800</v>
      </c>
      <c r="L502" s="469">
        <v>5737200</v>
      </c>
      <c r="M502" s="297">
        <v>6300000</v>
      </c>
      <c r="N502" s="297">
        <v>6600000</v>
      </c>
    </row>
    <row r="503" spans="1:14" s="20" customFormat="1">
      <c r="A503" s="253"/>
      <c r="B503" s="231"/>
      <c r="C503" s="32" t="s">
        <v>47</v>
      </c>
      <c r="D503" s="77">
        <v>22020203</v>
      </c>
      <c r="E503" s="135" t="s">
        <v>779</v>
      </c>
      <c r="F503" s="138">
        <v>1000000</v>
      </c>
      <c r="G503" s="297">
        <v>1000000</v>
      </c>
      <c r="H503" s="297"/>
      <c r="I503" s="297"/>
      <c r="J503" s="28">
        <v>1000000</v>
      </c>
      <c r="K503" s="488">
        <f t="shared" si="105"/>
        <v>43800</v>
      </c>
      <c r="L503" s="469">
        <v>956200</v>
      </c>
      <c r="M503" s="297">
        <v>1050000</v>
      </c>
      <c r="N503" s="297">
        <v>1100000</v>
      </c>
    </row>
    <row r="504" spans="1:14" s="20" customFormat="1">
      <c r="A504" s="253"/>
      <c r="B504" s="231"/>
      <c r="C504" s="32" t="s">
        <v>47</v>
      </c>
      <c r="D504" s="77">
        <v>22020205</v>
      </c>
      <c r="E504" s="135" t="s">
        <v>850</v>
      </c>
      <c r="F504" s="138">
        <v>3000000</v>
      </c>
      <c r="G504" s="297">
        <v>3000000</v>
      </c>
      <c r="H504" s="297"/>
      <c r="I504" s="297"/>
      <c r="J504" s="28">
        <v>3000000</v>
      </c>
      <c r="K504" s="488">
        <f t="shared" si="105"/>
        <v>131400</v>
      </c>
      <c r="L504" s="469">
        <v>2868600</v>
      </c>
      <c r="M504" s="297">
        <v>3150000</v>
      </c>
      <c r="N504" s="297">
        <v>3300000</v>
      </c>
    </row>
    <row r="505" spans="1:14" s="20" customFormat="1">
      <c r="A505" s="253"/>
      <c r="B505" s="231"/>
      <c r="C505" s="32" t="s">
        <v>47</v>
      </c>
      <c r="D505" s="77">
        <v>22020301</v>
      </c>
      <c r="E505" s="135" t="s">
        <v>737</v>
      </c>
      <c r="F505" s="138">
        <v>30000000</v>
      </c>
      <c r="G505" s="297">
        <v>28410800</v>
      </c>
      <c r="H505" s="297"/>
      <c r="I505" s="297"/>
      <c r="J505" s="28">
        <v>28410800</v>
      </c>
      <c r="K505" s="488">
        <f t="shared" si="105"/>
        <v>1244393.04</v>
      </c>
      <c r="L505" s="469">
        <v>27166406.960000001</v>
      </c>
      <c r="M505" s="297">
        <v>31500000</v>
      </c>
      <c r="N505" s="297">
        <v>33000000</v>
      </c>
    </row>
    <row r="506" spans="1:14" s="20" customFormat="1">
      <c r="A506" s="253"/>
      <c r="B506" s="231"/>
      <c r="C506" s="32" t="s">
        <v>47</v>
      </c>
      <c r="D506" s="77">
        <v>22020303</v>
      </c>
      <c r="E506" s="135" t="s">
        <v>738</v>
      </c>
      <c r="F506" s="138">
        <v>3182400</v>
      </c>
      <c r="G506" s="297">
        <v>3182400</v>
      </c>
      <c r="H506" s="297"/>
      <c r="I506" s="297"/>
      <c r="J506" s="28">
        <v>3182400</v>
      </c>
      <c r="K506" s="488">
        <f t="shared" si="105"/>
        <v>139389.12</v>
      </c>
      <c r="L506" s="469">
        <v>3043010.8800000004</v>
      </c>
      <c r="M506" s="297">
        <v>3341520</v>
      </c>
      <c r="N506" s="297">
        <v>3500640</v>
      </c>
    </row>
    <row r="507" spans="1:14" s="20" customFormat="1">
      <c r="A507" s="253"/>
      <c r="B507" s="231"/>
      <c r="C507" s="32" t="s">
        <v>47</v>
      </c>
      <c r="D507" s="77">
        <v>22020305</v>
      </c>
      <c r="E507" s="135" t="s">
        <v>755</v>
      </c>
      <c r="F507" s="138">
        <v>7390125</v>
      </c>
      <c r="G507" s="297">
        <v>6937800</v>
      </c>
      <c r="H507" s="297"/>
      <c r="I507" s="297"/>
      <c r="J507" s="28">
        <v>6937800</v>
      </c>
      <c r="K507" s="488">
        <f t="shared" si="105"/>
        <v>303875.64</v>
      </c>
      <c r="L507" s="469">
        <v>6633924.3600000003</v>
      </c>
      <c r="M507" s="297">
        <v>7759631.25</v>
      </c>
      <c r="N507" s="297">
        <v>8129137.5000000009</v>
      </c>
    </row>
    <row r="508" spans="1:14" s="20" customFormat="1">
      <c r="A508" s="253"/>
      <c r="B508" s="231"/>
      <c r="C508" s="32" t="s">
        <v>47</v>
      </c>
      <c r="D508" s="77">
        <v>22020311</v>
      </c>
      <c r="E508" s="135" t="s">
        <v>823</v>
      </c>
      <c r="F508" s="138">
        <v>491900</v>
      </c>
      <c r="G508" s="297">
        <v>370900</v>
      </c>
      <c r="H508" s="297"/>
      <c r="I508" s="297"/>
      <c r="J508" s="28">
        <v>370900</v>
      </c>
      <c r="K508" s="488">
        <f t="shared" si="105"/>
        <v>16245.42</v>
      </c>
      <c r="L508" s="469">
        <v>354654.58</v>
      </c>
      <c r="M508" s="297">
        <v>516495</v>
      </c>
      <c r="N508" s="297">
        <v>541090</v>
      </c>
    </row>
    <row r="509" spans="1:14" s="20" customFormat="1">
      <c r="A509" s="253"/>
      <c r="B509" s="231"/>
      <c r="C509" s="32" t="s">
        <v>47</v>
      </c>
      <c r="D509" s="77">
        <v>22020401</v>
      </c>
      <c r="E509" s="135" t="s">
        <v>741</v>
      </c>
      <c r="F509" s="138">
        <v>3938984</v>
      </c>
      <c r="G509" s="297">
        <v>3523744</v>
      </c>
      <c r="H509" s="297"/>
      <c r="I509" s="297"/>
      <c r="J509" s="28">
        <v>3523744</v>
      </c>
      <c r="K509" s="488">
        <f t="shared" si="105"/>
        <v>154339.9872</v>
      </c>
      <c r="L509" s="469">
        <v>3369404.0128000001</v>
      </c>
      <c r="M509" s="297">
        <v>4135933.2</v>
      </c>
      <c r="N509" s="297">
        <v>4332882.4000000004</v>
      </c>
    </row>
    <row r="510" spans="1:14" s="20" customFormat="1">
      <c r="A510" s="253"/>
      <c r="B510" s="231"/>
      <c r="C510" s="32" t="s">
        <v>47</v>
      </c>
      <c r="D510" s="77">
        <v>22020402</v>
      </c>
      <c r="E510" s="135" t="s">
        <v>757</v>
      </c>
      <c r="F510" s="138">
        <v>3000000</v>
      </c>
      <c r="G510" s="297">
        <v>3000000</v>
      </c>
      <c r="H510" s="297"/>
      <c r="I510" s="297"/>
      <c r="J510" s="28">
        <v>3000000</v>
      </c>
      <c r="K510" s="488">
        <f t="shared" si="105"/>
        <v>131400</v>
      </c>
      <c r="L510" s="469">
        <v>2868600</v>
      </c>
      <c r="M510" s="297">
        <v>3150000</v>
      </c>
      <c r="N510" s="297">
        <v>3300000</v>
      </c>
    </row>
    <row r="511" spans="1:14" s="20" customFormat="1">
      <c r="A511" s="253"/>
      <c r="B511" s="231"/>
      <c r="C511" s="32" t="s">
        <v>47</v>
      </c>
      <c r="D511" s="77">
        <v>22020403</v>
      </c>
      <c r="E511" s="135" t="s">
        <v>781</v>
      </c>
      <c r="F511" s="138">
        <v>3025400</v>
      </c>
      <c r="G511" s="297">
        <v>3025400</v>
      </c>
      <c r="H511" s="297"/>
      <c r="I511" s="297"/>
      <c r="J511" s="28">
        <v>3025400</v>
      </c>
      <c r="K511" s="488">
        <f t="shared" si="105"/>
        <v>132512.51999999999</v>
      </c>
      <c r="L511" s="469">
        <v>2892887.48</v>
      </c>
      <c r="M511" s="297">
        <v>3176670</v>
      </c>
      <c r="N511" s="297">
        <v>3327940</v>
      </c>
    </row>
    <row r="512" spans="1:14" s="20" customFormat="1">
      <c r="A512" s="253"/>
      <c r="B512" s="231"/>
      <c r="C512" s="32" t="s">
        <v>47</v>
      </c>
      <c r="D512" s="77">
        <v>22020404</v>
      </c>
      <c r="E512" s="135" t="s">
        <v>742</v>
      </c>
      <c r="F512" s="138">
        <v>900000</v>
      </c>
      <c r="G512" s="297">
        <v>750000</v>
      </c>
      <c r="H512" s="297"/>
      <c r="I512" s="297"/>
      <c r="J512" s="28">
        <v>750000</v>
      </c>
      <c r="K512" s="488">
        <f t="shared" si="105"/>
        <v>32850</v>
      </c>
      <c r="L512" s="469">
        <v>717150</v>
      </c>
      <c r="M512" s="297">
        <v>945000</v>
      </c>
      <c r="N512" s="297">
        <v>990000</v>
      </c>
    </row>
    <row r="513" spans="1:14" s="20" customFormat="1">
      <c r="A513" s="253"/>
      <c r="B513" s="231"/>
      <c r="C513" s="32" t="s">
        <v>47</v>
      </c>
      <c r="D513" s="77">
        <v>22020405</v>
      </c>
      <c r="E513" s="135" t="s">
        <v>743</v>
      </c>
      <c r="F513" s="138">
        <v>7373000</v>
      </c>
      <c r="G513" s="297">
        <v>4297000</v>
      </c>
      <c r="H513" s="297">
        <v>3076000</v>
      </c>
      <c r="I513" s="297"/>
      <c r="J513" s="28">
        <v>7373000</v>
      </c>
      <c r="K513" s="488">
        <f t="shared" si="105"/>
        <v>322937.39999999997</v>
      </c>
      <c r="L513" s="469">
        <v>7050062.6000000006</v>
      </c>
      <c r="M513" s="297">
        <v>7395150</v>
      </c>
      <c r="N513" s="297">
        <v>7813300</v>
      </c>
    </row>
    <row r="514" spans="1:14" s="20" customFormat="1">
      <c r="A514" s="253"/>
      <c r="B514" s="231"/>
      <c r="C514" s="32" t="s">
        <v>47</v>
      </c>
      <c r="D514" s="77">
        <v>22020416</v>
      </c>
      <c r="E514" s="135" t="s">
        <v>782</v>
      </c>
      <c r="F514" s="138">
        <v>1000008</v>
      </c>
      <c r="G514" s="297">
        <v>1000000</v>
      </c>
      <c r="H514" s="297"/>
      <c r="I514" s="297"/>
      <c r="J514" s="28">
        <v>1000000</v>
      </c>
      <c r="K514" s="488">
        <f t="shared" si="105"/>
        <v>43800</v>
      </c>
      <c r="L514" s="469">
        <v>956200</v>
      </c>
      <c r="M514" s="297">
        <v>1050008.3999999999</v>
      </c>
      <c r="N514" s="297">
        <v>1100008.8</v>
      </c>
    </row>
    <row r="515" spans="1:14" s="20" customFormat="1">
      <c r="A515" s="253"/>
      <c r="B515" s="231"/>
      <c r="C515" s="32" t="s">
        <v>47</v>
      </c>
      <c r="D515" s="77">
        <v>22020601</v>
      </c>
      <c r="E515" s="135" t="s">
        <v>766</v>
      </c>
      <c r="F515" s="138">
        <v>8376000</v>
      </c>
      <c r="G515" s="297">
        <v>8376000</v>
      </c>
      <c r="H515" s="297"/>
      <c r="I515" s="297"/>
      <c r="J515" s="28">
        <v>8376000</v>
      </c>
      <c r="K515" s="488">
        <f t="shared" si="105"/>
        <v>366868.8</v>
      </c>
      <c r="L515" s="469">
        <v>8009131.2000000002</v>
      </c>
      <c r="M515" s="297">
        <v>8794800</v>
      </c>
      <c r="N515" s="297">
        <v>9213600</v>
      </c>
    </row>
    <row r="516" spans="1:14" s="20" customFormat="1">
      <c r="A516" s="253"/>
      <c r="B516" s="231"/>
      <c r="C516" s="32" t="s">
        <v>47</v>
      </c>
      <c r="D516" s="77">
        <v>22020605</v>
      </c>
      <c r="E516" s="135" t="s">
        <v>768</v>
      </c>
      <c r="F516" s="138">
        <v>4910400</v>
      </c>
      <c r="G516" s="297">
        <v>3195000</v>
      </c>
      <c r="H516" s="297"/>
      <c r="I516" s="297"/>
      <c r="J516" s="28">
        <v>3195000</v>
      </c>
      <c r="K516" s="488">
        <f t="shared" si="105"/>
        <v>139941</v>
      </c>
      <c r="L516" s="469">
        <v>3055059</v>
      </c>
      <c r="M516" s="297">
        <v>5155920</v>
      </c>
      <c r="N516" s="297">
        <v>5401440</v>
      </c>
    </row>
    <row r="517" spans="1:14" s="20" customFormat="1">
      <c r="A517" s="253"/>
      <c r="B517" s="231"/>
      <c r="C517" s="32" t="s">
        <v>47</v>
      </c>
      <c r="D517" s="77">
        <v>22020607</v>
      </c>
      <c r="E517" s="135" t="s">
        <v>852</v>
      </c>
      <c r="F517" s="138">
        <v>20000000</v>
      </c>
      <c r="G517" s="297">
        <v>14000000</v>
      </c>
      <c r="H517" s="297"/>
      <c r="I517" s="297"/>
      <c r="J517" s="28">
        <v>14000000</v>
      </c>
      <c r="K517" s="488">
        <f t="shared" si="105"/>
        <v>613200</v>
      </c>
      <c r="L517" s="469">
        <v>13386800</v>
      </c>
      <c r="M517" s="297">
        <v>21000000</v>
      </c>
      <c r="N517" s="297">
        <v>22000000.000000004</v>
      </c>
    </row>
    <row r="518" spans="1:14" s="20" customFormat="1">
      <c r="A518" s="253"/>
      <c r="B518" s="231"/>
      <c r="C518" s="32" t="s">
        <v>47</v>
      </c>
      <c r="D518" s="77">
        <v>22020608</v>
      </c>
      <c r="E518" s="135" t="s">
        <v>746</v>
      </c>
      <c r="F518" s="138">
        <v>3600000</v>
      </c>
      <c r="G518" s="297">
        <v>3600000</v>
      </c>
      <c r="H518" s="297"/>
      <c r="I518" s="297"/>
      <c r="J518" s="28">
        <v>3600000</v>
      </c>
      <c r="K518" s="488">
        <f t="shared" si="105"/>
        <v>157680</v>
      </c>
      <c r="L518" s="469">
        <v>3442320</v>
      </c>
      <c r="M518" s="297">
        <v>3780000</v>
      </c>
      <c r="N518" s="297">
        <v>3960000</v>
      </c>
    </row>
    <row r="519" spans="1:14" s="20" customFormat="1">
      <c r="A519" s="253"/>
      <c r="B519" s="231"/>
      <c r="C519" s="32" t="s">
        <v>47</v>
      </c>
      <c r="D519" s="77">
        <v>22020703</v>
      </c>
      <c r="E519" s="135" t="s">
        <v>770</v>
      </c>
      <c r="F519" s="138">
        <v>4000000</v>
      </c>
      <c r="G519" s="297">
        <v>4000000</v>
      </c>
      <c r="H519" s="297"/>
      <c r="I519" s="297"/>
      <c r="J519" s="28">
        <v>4000000</v>
      </c>
      <c r="K519" s="488">
        <f t="shared" si="105"/>
        <v>175200</v>
      </c>
      <c r="L519" s="469">
        <v>3824800</v>
      </c>
      <c r="M519" s="297">
        <v>4200000</v>
      </c>
      <c r="N519" s="297">
        <v>4400000</v>
      </c>
    </row>
    <row r="520" spans="1:14" s="20" customFormat="1">
      <c r="A520" s="253"/>
      <c r="B520" s="231"/>
      <c r="C520" s="32" t="s">
        <v>47</v>
      </c>
      <c r="D520" s="77">
        <v>22020801</v>
      </c>
      <c r="E520" s="135" t="s">
        <v>747</v>
      </c>
      <c r="F520" s="138">
        <v>9936850</v>
      </c>
      <c r="G520" s="297">
        <v>7006110</v>
      </c>
      <c r="H520" s="297"/>
      <c r="I520" s="297"/>
      <c r="J520" s="28">
        <v>7006110</v>
      </c>
      <c r="K520" s="488">
        <f t="shared" si="105"/>
        <v>306867.61800000002</v>
      </c>
      <c r="L520" s="469">
        <v>6699242.3820000002</v>
      </c>
      <c r="M520" s="297">
        <v>10433692.5</v>
      </c>
      <c r="N520" s="297">
        <v>10930535</v>
      </c>
    </row>
    <row r="521" spans="1:14" s="20" customFormat="1">
      <c r="A521" s="253"/>
      <c r="B521" s="231"/>
      <c r="C521" s="32" t="s">
        <v>47</v>
      </c>
      <c r="D521" s="77">
        <v>22020803</v>
      </c>
      <c r="E521" s="135" t="s">
        <v>748</v>
      </c>
      <c r="F521" s="138">
        <v>14300000</v>
      </c>
      <c r="G521" s="297">
        <v>10000000</v>
      </c>
      <c r="H521" s="297">
        <v>4300000</v>
      </c>
      <c r="I521" s="297"/>
      <c r="J521" s="28">
        <v>14300000</v>
      </c>
      <c r="K521" s="488">
        <f t="shared" si="105"/>
        <v>626340</v>
      </c>
      <c r="L521" s="469">
        <v>13673660</v>
      </c>
      <c r="M521" s="297">
        <v>30030000</v>
      </c>
      <c r="N521" s="297">
        <v>31460000.000000004</v>
      </c>
    </row>
    <row r="522" spans="1:14" s="20" customFormat="1">
      <c r="A522" s="253"/>
      <c r="B522" s="231"/>
      <c r="C522" s="32" t="s">
        <v>47</v>
      </c>
      <c r="D522" s="77">
        <v>22020901</v>
      </c>
      <c r="E522" s="135" t="s">
        <v>749</v>
      </c>
      <c r="F522" s="138">
        <v>96000</v>
      </c>
      <c r="G522" s="297">
        <v>96000</v>
      </c>
      <c r="H522" s="297"/>
      <c r="I522" s="297"/>
      <c r="J522" s="28">
        <v>96000</v>
      </c>
      <c r="K522" s="488">
        <f t="shared" si="105"/>
        <v>4204.8</v>
      </c>
      <c r="L522" s="469">
        <v>91795.200000000012</v>
      </c>
      <c r="M522" s="297">
        <v>100800</v>
      </c>
      <c r="N522" s="297">
        <v>105600</v>
      </c>
    </row>
    <row r="523" spans="1:14" s="20" customFormat="1">
      <c r="A523" s="253"/>
      <c r="B523" s="231"/>
      <c r="C523" s="32" t="s">
        <v>47</v>
      </c>
      <c r="D523" s="77">
        <v>22020902</v>
      </c>
      <c r="E523" s="135" t="s">
        <v>853</v>
      </c>
      <c r="F523" s="138">
        <v>71177762</v>
      </c>
      <c r="G523" s="297">
        <v>51000000</v>
      </c>
      <c r="H523" s="297">
        <v>20177762</v>
      </c>
      <c r="I523" s="297"/>
      <c r="J523" s="28">
        <v>71177762</v>
      </c>
      <c r="K523" s="488">
        <f t="shared" si="105"/>
        <v>3117585.9756</v>
      </c>
      <c r="L523" s="469">
        <v>68060176.024400011</v>
      </c>
      <c r="M523" s="297">
        <v>74736650.099999994</v>
      </c>
      <c r="N523" s="297">
        <v>78295538.200000003</v>
      </c>
    </row>
    <row r="524" spans="1:14" s="20" customFormat="1">
      <c r="A524" s="253"/>
      <c r="B524" s="231"/>
      <c r="C524" s="32" t="s">
        <v>47</v>
      </c>
      <c r="D524" s="77">
        <v>22021002</v>
      </c>
      <c r="E524" s="135" t="s">
        <v>805</v>
      </c>
      <c r="F524" s="138">
        <v>3000000</v>
      </c>
      <c r="G524" s="297">
        <v>2000000</v>
      </c>
      <c r="H524" s="297"/>
      <c r="I524" s="297"/>
      <c r="J524" s="28">
        <v>2000000</v>
      </c>
      <c r="K524" s="488">
        <f t="shared" si="105"/>
        <v>87600</v>
      </c>
      <c r="L524" s="469">
        <v>1912400</v>
      </c>
      <c r="M524" s="297">
        <v>3150000</v>
      </c>
      <c r="N524" s="297">
        <v>3300000</v>
      </c>
    </row>
    <row r="525" spans="1:14" s="20" customFormat="1">
      <c r="A525" s="253"/>
      <c r="B525" s="231"/>
      <c r="C525" s="32" t="s">
        <v>47</v>
      </c>
      <c r="D525" s="77">
        <v>22021004</v>
      </c>
      <c r="E525" s="135" t="s">
        <v>854</v>
      </c>
      <c r="F525" s="138">
        <v>4921400</v>
      </c>
      <c r="G525" s="297">
        <v>4050400</v>
      </c>
      <c r="H525" s="297"/>
      <c r="I525" s="297"/>
      <c r="J525" s="28">
        <v>4050400</v>
      </c>
      <c r="K525" s="488">
        <f t="shared" si="105"/>
        <v>177407.52</v>
      </c>
      <c r="L525" s="469">
        <v>3872992.48</v>
      </c>
      <c r="M525" s="297">
        <v>5166670</v>
      </c>
      <c r="N525" s="297">
        <v>5413540</v>
      </c>
    </row>
    <row r="526" spans="1:14" s="20" customFormat="1">
      <c r="A526" s="253"/>
      <c r="B526" s="231"/>
      <c r="C526" s="32" t="s">
        <v>47</v>
      </c>
      <c r="D526" s="77">
        <v>22021006</v>
      </c>
      <c r="E526" s="135" t="s">
        <v>855</v>
      </c>
      <c r="F526" s="138">
        <v>220000</v>
      </c>
      <c r="G526" s="297">
        <v>156000</v>
      </c>
      <c r="H526" s="297"/>
      <c r="I526" s="297"/>
      <c r="J526" s="28">
        <v>156000</v>
      </c>
      <c r="K526" s="488">
        <f t="shared" si="105"/>
        <v>6832.8</v>
      </c>
      <c r="L526" s="469">
        <v>149167.20000000001</v>
      </c>
      <c r="M526" s="297">
        <v>231000</v>
      </c>
      <c r="N526" s="297">
        <v>242000</v>
      </c>
    </row>
    <row r="527" spans="1:14" s="20" customFormat="1">
      <c r="A527" s="253"/>
      <c r="B527" s="231"/>
      <c r="C527" s="32" t="s">
        <v>47</v>
      </c>
      <c r="D527" s="77">
        <v>22021007</v>
      </c>
      <c r="E527" s="135" t="s">
        <v>856</v>
      </c>
      <c r="F527" s="138">
        <v>4500000</v>
      </c>
      <c r="G527" s="297">
        <v>4500000</v>
      </c>
      <c r="H527" s="297"/>
      <c r="I527" s="297"/>
      <c r="J527" s="28">
        <v>4500000</v>
      </c>
      <c r="K527" s="488">
        <f t="shared" si="105"/>
        <v>197100</v>
      </c>
      <c r="L527" s="469">
        <v>4302900</v>
      </c>
      <c r="M527" s="297">
        <v>4725000</v>
      </c>
      <c r="N527" s="297">
        <v>4950000</v>
      </c>
    </row>
    <row r="528" spans="1:14" s="20" customFormat="1">
      <c r="A528" s="253"/>
      <c r="B528" s="231"/>
      <c r="C528" s="32" t="s">
        <v>47</v>
      </c>
      <c r="D528" s="77">
        <v>22021008</v>
      </c>
      <c r="E528" s="135" t="s">
        <v>784</v>
      </c>
      <c r="F528" s="138">
        <v>36612752</v>
      </c>
      <c r="G528" s="297">
        <v>15940000</v>
      </c>
      <c r="H528" s="297">
        <v>20672752</v>
      </c>
      <c r="I528" s="297"/>
      <c r="J528" s="28">
        <v>36612752</v>
      </c>
      <c r="K528" s="488">
        <f t="shared" si="105"/>
        <v>1603638.5375999999</v>
      </c>
      <c r="L528" s="469">
        <v>35009113.462400004</v>
      </c>
      <c r="M528" s="297">
        <v>38443389.600000001</v>
      </c>
      <c r="N528" s="297">
        <v>40274027.200000003</v>
      </c>
    </row>
    <row r="529" spans="1:14" s="20" customFormat="1">
      <c r="A529" s="253"/>
      <c r="B529" s="231"/>
      <c r="C529" s="32" t="s">
        <v>47</v>
      </c>
      <c r="D529" s="77">
        <v>22021014</v>
      </c>
      <c r="E529" s="135" t="s">
        <v>800</v>
      </c>
      <c r="F529" s="138">
        <v>1200000</v>
      </c>
      <c r="G529" s="297">
        <v>1200000</v>
      </c>
      <c r="H529" s="297"/>
      <c r="I529" s="297"/>
      <c r="J529" s="28">
        <v>1200000</v>
      </c>
      <c r="K529" s="488">
        <f t="shared" si="105"/>
        <v>52560</v>
      </c>
      <c r="L529" s="469">
        <v>1147440</v>
      </c>
      <c r="M529" s="297">
        <v>1260000</v>
      </c>
      <c r="N529" s="297">
        <v>1320000</v>
      </c>
    </row>
    <row r="530" spans="1:14" s="20" customFormat="1">
      <c r="A530" s="253"/>
      <c r="B530" s="231"/>
      <c r="C530" s="32" t="s">
        <v>47</v>
      </c>
      <c r="D530" s="77">
        <v>22021022</v>
      </c>
      <c r="E530" s="135" t="s">
        <v>815</v>
      </c>
      <c r="F530" s="138">
        <v>7000000</v>
      </c>
      <c r="G530" s="297">
        <v>6500000</v>
      </c>
      <c r="H530" s="297"/>
      <c r="I530" s="297"/>
      <c r="J530" s="28">
        <v>6500000</v>
      </c>
      <c r="K530" s="488">
        <f t="shared" si="105"/>
        <v>284700</v>
      </c>
      <c r="L530" s="469">
        <v>6215300</v>
      </c>
      <c r="M530" s="297">
        <v>7350000</v>
      </c>
      <c r="N530" s="297">
        <v>7700000</v>
      </c>
    </row>
    <row r="531" spans="1:14" s="20" customFormat="1">
      <c r="A531" s="253"/>
      <c r="B531" s="231"/>
      <c r="C531" s="32" t="s">
        <v>47</v>
      </c>
      <c r="D531" s="77">
        <v>22021024</v>
      </c>
      <c r="E531" s="135" t="s">
        <v>816</v>
      </c>
      <c r="F531" s="138">
        <v>1295984950</v>
      </c>
      <c r="G531" s="297">
        <v>946629000</v>
      </c>
      <c r="H531" s="297">
        <v>349355950</v>
      </c>
      <c r="I531" s="297"/>
      <c r="J531" s="28">
        <v>1295984950</v>
      </c>
      <c r="K531" s="488">
        <f t="shared" si="105"/>
        <v>56764140.809999995</v>
      </c>
      <c r="L531" s="469">
        <v>1239220809.1900001</v>
      </c>
      <c r="M531" s="297">
        <v>1359885797.5</v>
      </c>
      <c r="N531" s="297">
        <v>1423786645</v>
      </c>
    </row>
    <row r="532" spans="1:14" s="20" customFormat="1">
      <c r="A532" s="253"/>
      <c r="B532" s="231"/>
      <c r="C532" s="32" t="s">
        <v>47</v>
      </c>
      <c r="D532" s="77">
        <v>22021026</v>
      </c>
      <c r="E532" s="135" t="s">
        <v>751</v>
      </c>
      <c r="F532" s="138">
        <v>218390000</v>
      </c>
      <c r="G532" s="297">
        <v>206000000</v>
      </c>
      <c r="H532" s="297"/>
      <c r="I532" s="297"/>
      <c r="J532" s="28">
        <v>206000000</v>
      </c>
      <c r="K532" s="488">
        <f t="shared" si="105"/>
        <v>9022800</v>
      </c>
      <c r="L532" s="469">
        <v>196977200</v>
      </c>
      <c r="M532" s="297">
        <v>229309500</v>
      </c>
      <c r="N532" s="297">
        <v>240229000</v>
      </c>
    </row>
    <row r="533" spans="1:14" s="20" customFormat="1">
      <c r="A533" s="253"/>
      <c r="B533" s="231"/>
      <c r="C533" s="32" t="s">
        <v>47</v>
      </c>
      <c r="D533" s="77">
        <v>22021027</v>
      </c>
      <c r="E533" s="135" t="s">
        <v>817</v>
      </c>
      <c r="F533" s="138">
        <v>3000000</v>
      </c>
      <c r="G533" s="297">
        <v>3000000</v>
      </c>
      <c r="H533" s="297"/>
      <c r="I533" s="297"/>
      <c r="J533" s="28">
        <v>3000000</v>
      </c>
      <c r="K533" s="488">
        <f t="shared" si="105"/>
        <v>131400</v>
      </c>
      <c r="L533" s="469">
        <v>2868600</v>
      </c>
      <c r="M533" s="297">
        <v>3150000</v>
      </c>
      <c r="N533" s="297">
        <v>3300000.0000000005</v>
      </c>
    </row>
    <row r="534" spans="1:14" s="20" customFormat="1">
      <c r="A534" s="238"/>
      <c r="B534" s="231"/>
      <c r="C534" s="30" t="s">
        <v>1837</v>
      </c>
      <c r="D534" s="23"/>
      <c r="E534" s="25"/>
      <c r="F534" s="137">
        <f>SUM(F495:F533)</f>
        <v>2067219591</v>
      </c>
      <c r="G534" s="114">
        <f>SUM(G495:G533)</f>
        <v>1554629554</v>
      </c>
      <c r="H534" s="114">
        <f>SUM(H495:H533)</f>
        <v>454173124</v>
      </c>
      <c r="I534" s="114">
        <f t="shared" ref="I534" si="106">SUM(I495:I533)</f>
        <v>0</v>
      </c>
      <c r="J534" s="114">
        <f>SUM(J495:J533)</f>
        <v>2008802678</v>
      </c>
      <c r="K534" s="490">
        <f>SUM(K495:K533)</f>
        <v>87985557.296399996</v>
      </c>
      <c r="L534" s="468">
        <f>SUM(L495:L533)</f>
        <v>1920817120.7036002</v>
      </c>
      <c r="M534" s="114">
        <f>SUM(M495:M533)</f>
        <v>2184349870.5500002</v>
      </c>
      <c r="N534" s="114">
        <f>SUM(N495:N533)</f>
        <v>2287577750.0999999</v>
      </c>
    </row>
    <row r="535" spans="1:14" s="66" customFormat="1">
      <c r="A535" s="238" t="s">
        <v>844</v>
      </c>
      <c r="B535" s="231" t="s">
        <v>1859</v>
      </c>
      <c r="C535" s="30"/>
      <c r="D535" s="23"/>
      <c r="E535" s="25"/>
      <c r="F535" s="137">
        <f>F534+F494</f>
        <v>2656685120.8000002</v>
      </c>
      <c r="G535" s="114">
        <f>G534+G494</f>
        <v>2144095083.8000002</v>
      </c>
      <c r="H535" s="114">
        <f t="shared" ref="H535:I535" si="107">H534+H494</f>
        <v>542151559</v>
      </c>
      <c r="I535" s="114">
        <f t="shared" si="107"/>
        <v>0</v>
      </c>
      <c r="J535" s="114">
        <f>J534+J494</f>
        <v>2686246642.8000002</v>
      </c>
      <c r="K535" s="490"/>
      <c r="L535" s="468">
        <f>L534+L494</f>
        <v>2598261085.5036001</v>
      </c>
      <c r="M535" s="114">
        <f>M534+M494</f>
        <v>2832761953.3300004</v>
      </c>
      <c r="N535" s="114">
        <f>N534+N494</f>
        <v>3000831041.158</v>
      </c>
    </row>
    <row r="536" spans="1:14" s="20" customFormat="1" ht="21">
      <c r="A536" s="252"/>
      <c r="B536" s="443"/>
      <c r="C536" s="228"/>
      <c r="D536" s="229"/>
      <c r="E536" s="230"/>
      <c r="F536" s="215"/>
      <c r="G536" s="296"/>
      <c r="H536" s="296"/>
      <c r="I536" s="296"/>
      <c r="J536" s="28">
        <f t="shared" ref="J536:K536" si="108">G536+H536-I536</f>
        <v>0</v>
      </c>
      <c r="K536" s="488">
        <f t="shared" si="108"/>
        <v>0</v>
      </c>
      <c r="L536" s="468">
        <f>G536-J536</f>
        <v>0</v>
      </c>
      <c r="M536" s="296"/>
      <c r="N536" s="296"/>
    </row>
    <row r="537" spans="1:14" s="20" customFormat="1" ht="30">
      <c r="A537" s="238" t="s">
        <v>857</v>
      </c>
      <c r="B537" s="231" t="s">
        <v>154</v>
      </c>
      <c r="C537" s="32" t="s">
        <v>46</v>
      </c>
      <c r="D537" s="77">
        <v>21010101</v>
      </c>
      <c r="E537" s="135" t="s">
        <v>725</v>
      </c>
      <c r="F537" s="136">
        <v>62816089.560000002</v>
      </c>
      <c r="G537" s="28">
        <v>16050834.48</v>
      </c>
      <c r="H537" s="28">
        <v>499146.76</v>
      </c>
      <c r="I537" s="28"/>
      <c r="J537" s="28">
        <v>16549981.24</v>
      </c>
      <c r="K537" s="488"/>
      <c r="L537" s="467">
        <v>16549981.24</v>
      </c>
      <c r="M537" s="28">
        <f t="shared" ref="M537:M547" si="109">G537*10%+G537</f>
        <v>17655917.927999999</v>
      </c>
      <c r="N537" s="28">
        <f>M537*10%+M537</f>
        <v>19421509.720799997</v>
      </c>
    </row>
    <row r="538" spans="1:14" s="20" customFormat="1">
      <c r="A538" s="253"/>
      <c r="B538" s="231"/>
      <c r="C538" s="32" t="s">
        <v>46</v>
      </c>
      <c r="D538" s="77">
        <v>21020101</v>
      </c>
      <c r="E538" s="135" t="s">
        <v>726</v>
      </c>
      <c r="F538" s="136"/>
      <c r="G538" s="28">
        <v>3700741.56</v>
      </c>
      <c r="H538" s="28"/>
      <c r="I538" s="28"/>
      <c r="J538" s="28">
        <v>3700741.56</v>
      </c>
      <c r="K538" s="488"/>
      <c r="L538" s="467">
        <v>3700741.56</v>
      </c>
      <c r="M538" s="28">
        <f t="shared" si="109"/>
        <v>4070815.716</v>
      </c>
      <c r="N538" s="28">
        <f t="shared" ref="N538:N548" si="110">M538*10%+M538</f>
        <v>4477897.2876000004</v>
      </c>
    </row>
    <row r="539" spans="1:14" s="20" customFormat="1">
      <c r="A539" s="253"/>
      <c r="B539" s="231"/>
      <c r="C539" s="32" t="s">
        <v>46</v>
      </c>
      <c r="D539" s="77">
        <v>21020102</v>
      </c>
      <c r="E539" s="135" t="s">
        <v>858</v>
      </c>
      <c r="F539" s="136"/>
      <c r="G539" s="28">
        <v>1480285.56</v>
      </c>
      <c r="H539" s="28"/>
      <c r="I539" s="28"/>
      <c r="J539" s="28">
        <v>1480285.56</v>
      </c>
      <c r="K539" s="488"/>
      <c r="L539" s="467">
        <v>1480285.56</v>
      </c>
      <c r="M539" s="28">
        <f t="shared" si="109"/>
        <v>1628314.1160000002</v>
      </c>
      <c r="N539" s="28">
        <f t="shared" si="110"/>
        <v>1791145.5276000001</v>
      </c>
    </row>
    <row r="540" spans="1:14" s="20" customFormat="1">
      <c r="A540" s="253"/>
      <c r="B540" s="231"/>
      <c r="C540" s="32" t="s">
        <v>46</v>
      </c>
      <c r="D540" s="77">
        <v>21020103</v>
      </c>
      <c r="E540" s="135" t="s">
        <v>728</v>
      </c>
      <c r="F540" s="136"/>
      <c r="G540" s="28">
        <v>745466.64</v>
      </c>
      <c r="H540" s="28"/>
      <c r="I540" s="28"/>
      <c r="J540" s="28">
        <v>745466.64</v>
      </c>
      <c r="K540" s="488"/>
      <c r="L540" s="467">
        <v>745466.64</v>
      </c>
      <c r="M540" s="28">
        <f t="shared" si="109"/>
        <v>820013.304</v>
      </c>
      <c r="N540" s="28">
        <f t="shared" si="110"/>
        <v>902014.63439999998</v>
      </c>
    </row>
    <row r="541" spans="1:14" s="20" customFormat="1">
      <c r="A541" s="253"/>
      <c r="B541" s="231"/>
      <c r="C541" s="32" t="s">
        <v>46</v>
      </c>
      <c r="D541" s="77">
        <v>21020104</v>
      </c>
      <c r="E541" s="135" t="s">
        <v>729</v>
      </c>
      <c r="F541" s="136"/>
      <c r="G541" s="28">
        <v>1114435.08</v>
      </c>
      <c r="H541" s="28"/>
      <c r="I541" s="28"/>
      <c r="J541" s="28">
        <v>1114435.08</v>
      </c>
      <c r="K541" s="488"/>
      <c r="L541" s="467">
        <v>1114435.08</v>
      </c>
      <c r="M541" s="28">
        <f t="shared" si="109"/>
        <v>1225878.588</v>
      </c>
      <c r="N541" s="28">
        <f t="shared" si="110"/>
        <v>1348466.4468</v>
      </c>
    </row>
    <row r="542" spans="1:14" s="20" customFormat="1">
      <c r="A542" s="253"/>
      <c r="B542" s="231"/>
      <c r="C542" s="32" t="s">
        <v>46</v>
      </c>
      <c r="D542" s="77">
        <v>21020105</v>
      </c>
      <c r="E542" s="135" t="s">
        <v>730</v>
      </c>
      <c r="F542" s="136"/>
      <c r="G542" s="28">
        <v>448216.68</v>
      </c>
      <c r="H542" s="28"/>
      <c r="I542" s="28"/>
      <c r="J542" s="28">
        <v>448216.68</v>
      </c>
      <c r="K542" s="488"/>
      <c r="L542" s="467">
        <v>448216.68</v>
      </c>
      <c r="M542" s="28">
        <f t="shared" si="109"/>
        <v>493038.348</v>
      </c>
      <c r="N542" s="28">
        <f t="shared" si="110"/>
        <v>542342.18279999995</v>
      </c>
    </row>
    <row r="543" spans="1:14" s="20" customFormat="1">
      <c r="A543" s="253"/>
      <c r="B543" s="231"/>
      <c r="C543" s="32" t="s">
        <v>46</v>
      </c>
      <c r="D543" s="77">
        <v>21020111</v>
      </c>
      <c r="E543" s="135" t="s">
        <v>859</v>
      </c>
      <c r="F543" s="136"/>
      <c r="G543" s="28">
        <v>935901</v>
      </c>
      <c r="H543" s="28"/>
      <c r="I543" s="28"/>
      <c r="J543" s="28">
        <v>935901</v>
      </c>
      <c r="K543" s="488"/>
      <c r="L543" s="467">
        <v>935901</v>
      </c>
      <c r="M543" s="28">
        <f t="shared" si="109"/>
        <v>1029491.1</v>
      </c>
      <c r="N543" s="28">
        <f t="shared" si="110"/>
        <v>1132440.21</v>
      </c>
    </row>
    <row r="544" spans="1:14" s="20" customFormat="1">
      <c r="A544" s="253"/>
      <c r="B544" s="231"/>
      <c r="C544" s="32" t="s">
        <v>46</v>
      </c>
      <c r="D544" s="77">
        <v>21020107</v>
      </c>
      <c r="E544" s="135" t="s">
        <v>732</v>
      </c>
      <c r="F544" s="136"/>
      <c r="G544" s="28">
        <v>1799901</v>
      </c>
      <c r="H544" s="28"/>
      <c r="I544" s="28"/>
      <c r="J544" s="28">
        <v>1799901</v>
      </c>
      <c r="K544" s="488"/>
      <c r="L544" s="467">
        <v>1799901</v>
      </c>
      <c r="M544" s="28">
        <f t="shared" si="109"/>
        <v>1979891.1</v>
      </c>
      <c r="N544" s="28">
        <f t="shared" si="110"/>
        <v>2177880.21</v>
      </c>
    </row>
    <row r="545" spans="1:14" s="20" customFormat="1">
      <c r="A545" s="253"/>
      <c r="B545" s="231"/>
      <c r="C545" s="32" t="s">
        <v>46</v>
      </c>
      <c r="D545" s="77">
        <v>21020145</v>
      </c>
      <c r="E545" s="135" t="s">
        <v>860</v>
      </c>
      <c r="F545" s="136"/>
      <c r="G545" s="28">
        <v>5175802.8</v>
      </c>
      <c r="H545" s="28"/>
      <c r="I545" s="28"/>
      <c r="J545" s="28">
        <v>5175802.8</v>
      </c>
      <c r="K545" s="488"/>
      <c r="L545" s="467">
        <v>5175802.8</v>
      </c>
      <c r="M545" s="28">
        <f t="shared" si="109"/>
        <v>5693383.0800000001</v>
      </c>
      <c r="N545" s="28">
        <f t="shared" si="110"/>
        <v>6262721.3880000003</v>
      </c>
    </row>
    <row r="546" spans="1:14" s="20" customFormat="1">
      <c r="A546" s="253"/>
      <c r="B546" s="231"/>
      <c r="C546" s="32" t="s">
        <v>46</v>
      </c>
      <c r="D546" s="77">
        <v>21020106</v>
      </c>
      <c r="E546" s="135" t="s">
        <v>731</v>
      </c>
      <c r="F546" s="136"/>
      <c r="G546" s="28">
        <v>2046124.17</v>
      </c>
      <c r="H546" s="28"/>
      <c r="I546" s="28"/>
      <c r="J546" s="28">
        <v>2046124.17</v>
      </c>
      <c r="K546" s="488"/>
      <c r="L546" s="467">
        <v>2046124.17</v>
      </c>
      <c r="M546" s="28">
        <f t="shared" si="109"/>
        <v>2250736.5869999998</v>
      </c>
      <c r="N546" s="28">
        <f t="shared" si="110"/>
        <v>2475810.2456999999</v>
      </c>
    </row>
    <row r="547" spans="1:14" s="20" customFormat="1">
      <c r="A547" s="253"/>
      <c r="B547" s="231"/>
      <c r="C547" s="32"/>
      <c r="D547" s="77">
        <v>21020153</v>
      </c>
      <c r="E547" s="135" t="s">
        <v>1697</v>
      </c>
      <c r="F547" s="136"/>
      <c r="G547" s="28">
        <v>937582.47</v>
      </c>
      <c r="H547" s="28"/>
      <c r="I547" s="28"/>
      <c r="J547" s="28">
        <v>937582.47</v>
      </c>
      <c r="K547" s="488"/>
      <c r="L547" s="468">
        <v>937582.47</v>
      </c>
      <c r="M547" s="28">
        <f t="shared" si="109"/>
        <v>1031340.7169999999</v>
      </c>
      <c r="N547" s="28">
        <f t="shared" si="110"/>
        <v>1134474.7886999999</v>
      </c>
    </row>
    <row r="548" spans="1:14" s="20" customFormat="1">
      <c r="A548" s="253"/>
      <c r="B548" s="231"/>
      <c r="C548" s="30" t="s">
        <v>1842</v>
      </c>
      <c r="D548" s="23"/>
      <c r="E548" s="25"/>
      <c r="F548" s="137">
        <f>SUM(F537:F546)</f>
        <v>62816089.560000002</v>
      </c>
      <c r="G548" s="114">
        <f>SUM(G537:G547)</f>
        <v>34435291.439999998</v>
      </c>
      <c r="H548" s="114">
        <f t="shared" ref="H548:I548" si="111">SUM(H537:H547)</f>
        <v>499146.76</v>
      </c>
      <c r="I548" s="114">
        <f t="shared" si="111"/>
        <v>0</v>
      </c>
      <c r="J548" s="114">
        <f>SUM(J537:J547)</f>
        <v>34934438.199999996</v>
      </c>
      <c r="K548" s="490">
        <f>SUM(K537:K547)</f>
        <v>0</v>
      </c>
      <c r="L548" s="468">
        <f>SUM(L537:L547)</f>
        <v>34934438.199999996</v>
      </c>
      <c r="M548" s="114">
        <f>SUM(M537:M547)</f>
        <v>37878820.584000006</v>
      </c>
      <c r="N548" s="114">
        <f t="shared" si="110"/>
        <v>41666702.642400004</v>
      </c>
    </row>
    <row r="549" spans="1:14" s="20" customFormat="1">
      <c r="A549" s="253"/>
      <c r="B549" s="231"/>
      <c r="C549" s="32" t="s">
        <v>47</v>
      </c>
      <c r="D549" s="77">
        <v>22020105</v>
      </c>
      <c r="E549" s="135" t="s">
        <v>1733</v>
      </c>
      <c r="F549" s="136">
        <v>2056000</v>
      </c>
      <c r="G549" s="28">
        <v>2056000</v>
      </c>
      <c r="H549" s="28"/>
      <c r="I549" s="28"/>
      <c r="J549" s="28">
        <v>2056000</v>
      </c>
      <c r="K549" s="488">
        <f>J549*4.38%</f>
        <v>90052.800000000003</v>
      </c>
      <c r="L549" s="469">
        <v>1965947.2000000002</v>
      </c>
      <c r="M549" s="28">
        <v>2056000</v>
      </c>
      <c r="N549" s="28">
        <v>2056000</v>
      </c>
    </row>
    <row r="550" spans="1:14" s="20" customFormat="1">
      <c r="A550" s="253"/>
      <c r="B550" s="231"/>
      <c r="C550" s="32" t="s">
        <v>47</v>
      </c>
      <c r="D550" s="77">
        <v>22020301</v>
      </c>
      <c r="E550" s="135" t="s">
        <v>737</v>
      </c>
      <c r="F550" s="136">
        <v>163850</v>
      </c>
      <c r="G550" s="28">
        <v>163850</v>
      </c>
      <c r="H550" s="28">
        <v>1408150</v>
      </c>
      <c r="I550" s="28"/>
      <c r="J550" s="28">
        <v>1572000</v>
      </c>
      <c r="K550" s="488">
        <f t="shared" ref="K550:K559" si="112">J550*4.38%</f>
        <v>68853.599999999991</v>
      </c>
      <c r="L550" s="469">
        <v>1503146.4000000001</v>
      </c>
      <c r="M550" s="28">
        <v>161050</v>
      </c>
      <c r="N550" s="28">
        <v>163850</v>
      </c>
    </row>
    <row r="551" spans="1:14" s="20" customFormat="1">
      <c r="A551" s="253"/>
      <c r="B551" s="231"/>
      <c r="C551" s="32" t="s">
        <v>47</v>
      </c>
      <c r="D551" s="77">
        <v>22020305</v>
      </c>
      <c r="E551" s="135" t="s">
        <v>755</v>
      </c>
      <c r="F551" s="136">
        <v>186000</v>
      </c>
      <c r="G551" s="28">
        <v>186000</v>
      </c>
      <c r="H551" s="28"/>
      <c r="I551" s="28"/>
      <c r="J551" s="28">
        <v>186000</v>
      </c>
      <c r="K551" s="488">
        <f t="shared" si="112"/>
        <v>8146.8</v>
      </c>
      <c r="L551" s="469">
        <v>177853.2</v>
      </c>
      <c r="M551" s="28">
        <v>186000</v>
      </c>
      <c r="N551" s="28">
        <v>186000</v>
      </c>
    </row>
    <row r="552" spans="1:14" s="20" customFormat="1">
      <c r="A552" s="253"/>
      <c r="B552" s="231"/>
      <c r="C552" s="32" t="s">
        <v>47</v>
      </c>
      <c r="D552" s="77">
        <v>22020314</v>
      </c>
      <c r="E552" s="135" t="s">
        <v>861</v>
      </c>
      <c r="F552" s="136">
        <v>5500000</v>
      </c>
      <c r="G552" s="28">
        <v>5500000</v>
      </c>
      <c r="H552" s="28">
        <v>225000</v>
      </c>
      <c r="I552" s="28"/>
      <c r="J552" s="28">
        <v>5725000</v>
      </c>
      <c r="K552" s="488">
        <f t="shared" si="112"/>
        <v>250755</v>
      </c>
      <c r="L552" s="469">
        <v>5474245</v>
      </c>
      <c r="M552" s="28">
        <v>5700000</v>
      </c>
      <c r="N552" s="28">
        <v>5700000</v>
      </c>
    </row>
    <row r="553" spans="1:14" s="20" customFormat="1">
      <c r="A553" s="253"/>
      <c r="B553" s="231"/>
      <c r="C553" s="32" t="s">
        <v>47</v>
      </c>
      <c r="D553" s="77">
        <v>22020315</v>
      </c>
      <c r="E553" s="135" t="s">
        <v>740</v>
      </c>
      <c r="F553" s="136">
        <v>167000</v>
      </c>
      <c r="G553" s="28">
        <v>167000</v>
      </c>
      <c r="H553" s="28"/>
      <c r="I553" s="28"/>
      <c r="J553" s="28">
        <v>167000</v>
      </c>
      <c r="K553" s="488">
        <f t="shared" si="112"/>
        <v>7314.5999999999995</v>
      </c>
      <c r="L553" s="469">
        <v>159685.4</v>
      </c>
      <c r="M553" s="28">
        <v>167000</v>
      </c>
      <c r="N553" s="28">
        <v>167000</v>
      </c>
    </row>
    <row r="554" spans="1:14" s="20" customFormat="1">
      <c r="A554" s="253"/>
      <c r="B554" s="231"/>
      <c r="C554" s="32" t="s">
        <v>47</v>
      </c>
      <c r="D554" s="77">
        <v>22020416</v>
      </c>
      <c r="E554" s="135" t="s">
        <v>782</v>
      </c>
      <c r="F554" s="136">
        <v>90000</v>
      </c>
      <c r="G554" s="28">
        <v>90000</v>
      </c>
      <c r="H554" s="28"/>
      <c r="I554" s="28"/>
      <c r="J554" s="28">
        <v>90000</v>
      </c>
      <c r="K554" s="488">
        <f t="shared" si="112"/>
        <v>3942</v>
      </c>
      <c r="L554" s="469">
        <v>86058</v>
      </c>
      <c r="M554" s="28">
        <v>90000</v>
      </c>
      <c r="N554" s="28">
        <v>90000</v>
      </c>
    </row>
    <row r="555" spans="1:14" s="20" customFormat="1">
      <c r="A555" s="253"/>
      <c r="B555" s="231"/>
      <c r="C555" s="32" t="s">
        <v>47</v>
      </c>
      <c r="D555" s="77">
        <v>22020801</v>
      </c>
      <c r="E555" s="135" t="s">
        <v>747</v>
      </c>
      <c r="F555" s="136">
        <v>195000</v>
      </c>
      <c r="G555" s="28">
        <v>195000</v>
      </c>
      <c r="H555" s="28"/>
      <c r="I555" s="28"/>
      <c r="J555" s="28">
        <v>195000</v>
      </c>
      <c r="K555" s="488">
        <f t="shared" si="112"/>
        <v>8541</v>
      </c>
      <c r="L555" s="469">
        <v>186459</v>
      </c>
      <c r="M555" s="28">
        <v>195000</v>
      </c>
      <c r="N555" s="28">
        <v>195000</v>
      </c>
    </row>
    <row r="556" spans="1:14" s="20" customFormat="1">
      <c r="A556" s="253"/>
      <c r="B556" s="231"/>
      <c r="C556" s="32" t="s">
        <v>47</v>
      </c>
      <c r="D556" s="77">
        <v>22020901</v>
      </c>
      <c r="E556" s="135" t="s">
        <v>749</v>
      </c>
      <c r="F556" s="136">
        <v>10000</v>
      </c>
      <c r="G556" s="28">
        <v>10000</v>
      </c>
      <c r="H556" s="28"/>
      <c r="I556" s="28"/>
      <c r="J556" s="28">
        <v>10000</v>
      </c>
      <c r="K556" s="488">
        <f t="shared" si="112"/>
        <v>438</v>
      </c>
      <c r="L556" s="469">
        <v>9562</v>
      </c>
      <c r="M556" s="28">
        <v>39600</v>
      </c>
      <c r="N556" s="28">
        <v>39600</v>
      </c>
    </row>
    <row r="557" spans="1:14" s="20" customFormat="1">
      <c r="A557" s="253"/>
      <c r="B557" s="231"/>
      <c r="C557" s="32" t="s">
        <v>47</v>
      </c>
      <c r="D557" s="77">
        <v>22021001</v>
      </c>
      <c r="E557" s="135" t="s">
        <v>772</v>
      </c>
      <c r="F557" s="136">
        <v>211150</v>
      </c>
      <c r="G557" s="28">
        <v>211150</v>
      </c>
      <c r="H557" s="28"/>
      <c r="I557" s="28"/>
      <c r="J557" s="28">
        <v>211150</v>
      </c>
      <c r="K557" s="488">
        <f t="shared" si="112"/>
        <v>9248.369999999999</v>
      </c>
      <c r="L557" s="469">
        <v>201901.63</v>
      </c>
      <c r="M557" s="28">
        <v>211150</v>
      </c>
      <c r="N557" s="28">
        <v>211150</v>
      </c>
    </row>
    <row r="558" spans="1:14" s="20" customFormat="1">
      <c r="A558" s="253"/>
      <c r="B558" s="231"/>
      <c r="C558" s="32" t="s">
        <v>47</v>
      </c>
      <c r="D558" s="77">
        <v>22021003</v>
      </c>
      <c r="E558" s="135" t="s">
        <v>760</v>
      </c>
      <c r="F558" s="136">
        <v>100000</v>
      </c>
      <c r="G558" s="28">
        <v>100000</v>
      </c>
      <c r="H558" s="28"/>
      <c r="I558" s="28"/>
      <c r="J558" s="28">
        <v>100000</v>
      </c>
      <c r="K558" s="488">
        <f t="shared" si="112"/>
        <v>4380</v>
      </c>
      <c r="L558" s="469">
        <v>95620</v>
      </c>
      <c r="M558" s="28">
        <v>400000</v>
      </c>
      <c r="N558" s="28">
        <v>400000</v>
      </c>
    </row>
    <row r="559" spans="1:14" s="20" customFormat="1">
      <c r="A559" s="253"/>
      <c r="B559" s="231"/>
      <c r="C559" s="32"/>
      <c r="D559" s="77"/>
      <c r="E559" s="135" t="s">
        <v>2607</v>
      </c>
      <c r="F559" s="136"/>
      <c r="G559" s="28"/>
      <c r="H559" s="28">
        <v>770000</v>
      </c>
      <c r="I559" s="28"/>
      <c r="J559" s="28">
        <v>770000</v>
      </c>
      <c r="K559" s="488">
        <f t="shared" si="112"/>
        <v>33726</v>
      </c>
      <c r="L559" s="469">
        <v>736274</v>
      </c>
      <c r="M559" s="28"/>
      <c r="N559" s="28"/>
    </row>
    <row r="560" spans="1:14" s="20" customFormat="1">
      <c r="A560" s="238"/>
      <c r="B560" s="231"/>
      <c r="C560" s="30" t="s">
        <v>1837</v>
      </c>
      <c r="D560" s="23"/>
      <c r="E560" s="25"/>
      <c r="F560" s="137">
        <f>SUM(F549:F558)</f>
        <v>8679000</v>
      </c>
      <c r="G560" s="114">
        <f>SUM(G549:G559)</f>
        <v>8679000</v>
      </c>
      <c r="H560" s="114">
        <f>SUM(H549:H559)</f>
        <v>2403150</v>
      </c>
      <c r="I560" s="114">
        <f t="shared" ref="I560" si="113">SUM(I549:I559)</f>
        <v>0</v>
      </c>
      <c r="J560" s="114">
        <f>SUM(J549:J559)</f>
        <v>11082150</v>
      </c>
      <c r="K560" s="490">
        <f>SUM(K549:K559)</f>
        <v>485398.16999999993</v>
      </c>
      <c r="L560" s="468">
        <f>SUM(L549:L559)</f>
        <v>10596751.830000002</v>
      </c>
      <c r="M560" s="114">
        <f>SUM(M549:M558)</f>
        <v>9205800</v>
      </c>
      <c r="N560" s="114">
        <f>SUM(N549:N558)</f>
        <v>9208600</v>
      </c>
    </row>
    <row r="561" spans="1:14" s="66" customFormat="1" ht="30">
      <c r="A561" s="238" t="s">
        <v>857</v>
      </c>
      <c r="B561" s="231" t="s">
        <v>1860</v>
      </c>
      <c r="C561" s="30"/>
      <c r="D561" s="23"/>
      <c r="E561" s="25"/>
      <c r="F561" s="137">
        <f>F560+F548</f>
        <v>71495089.560000002</v>
      </c>
      <c r="G561" s="114">
        <f>G560+G548</f>
        <v>43114291.439999998</v>
      </c>
      <c r="H561" s="114">
        <f>H560+H548</f>
        <v>2902296.76</v>
      </c>
      <c r="I561" s="114">
        <f t="shared" ref="I561" si="114">I560+I548</f>
        <v>0</v>
      </c>
      <c r="J561" s="114">
        <f>J560+J548</f>
        <v>46016588.199999996</v>
      </c>
      <c r="K561" s="490"/>
      <c r="L561" s="468">
        <f>L560+L548</f>
        <v>45531190.030000001</v>
      </c>
      <c r="M561" s="114">
        <f>M560+M548</f>
        <v>47084620.584000006</v>
      </c>
      <c r="N561" s="114">
        <f>N560+N548</f>
        <v>50875302.642400004</v>
      </c>
    </row>
    <row r="562" spans="1:14" s="20" customFormat="1" ht="21">
      <c r="A562" s="252"/>
      <c r="B562" s="443"/>
      <c r="C562" s="228"/>
      <c r="D562" s="229"/>
      <c r="E562" s="230"/>
      <c r="F562" s="215"/>
      <c r="G562" s="296"/>
      <c r="H562" s="296"/>
      <c r="I562" s="296"/>
      <c r="J562" s="28"/>
      <c r="K562" s="488"/>
      <c r="L562" s="468">
        <f>G562-J562</f>
        <v>0</v>
      </c>
      <c r="M562" s="296"/>
      <c r="N562" s="296"/>
    </row>
    <row r="563" spans="1:14" s="20" customFormat="1">
      <c r="A563" s="238" t="s">
        <v>862</v>
      </c>
      <c r="B563" s="231" t="s">
        <v>111</v>
      </c>
      <c r="C563" s="32" t="s">
        <v>46</v>
      </c>
      <c r="D563" s="77">
        <v>21010101</v>
      </c>
      <c r="E563" s="135" t="s">
        <v>725</v>
      </c>
      <c r="F563" s="138">
        <v>17689233.960000001</v>
      </c>
      <c r="G563" s="297">
        <v>17689233.960000001</v>
      </c>
      <c r="H563" s="297"/>
      <c r="I563" s="297"/>
      <c r="J563" s="28">
        <v>17689233.960000001</v>
      </c>
      <c r="K563" s="488"/>
      <c r="L563" s="467">
        <v>17689233.960000001</v>
      </c>
      <c r="M563" s="297">
        <f t="shared" ref="M563:M573" si="115">G563*10%+G563</f>
        <v>19458157.356000002</v>
      </c>
      <c r="N563" s="297">
        <f>M563*10%+M563</f>
        <v>21403973.091600001</v>
      </c>
    </row>
    <row r="564" spans="1:14" s="20" customFormat="1">
      <c r="A564" s="253"/>
      <c r="B564" s="231"/>
      <c r="C564" s="32" t="s">
        <v>46</v>
      </c>
      <c r="D564" s="77">
        <v>21010103</v>
      </c>
      <c r="E564" s="135" t="s">
        <v>863</v>
      </c>
      <c r="F564" s="138">
        <v>114689047.80000001</v>
      </c>
      <c r="G564" s="297">
        <v>114689047.80000001</v>
      </c>
      <c r="H564" s="297"/>
      <c r="I564" s="297"/>
      <c r="J564" s="28">
        <v>114689047.80000001</v>
      </c>
      <c r="K564" s="488"/>
      <c r="L564" s="467">
        <v>114689047.80000001</v>
      </c>
      <c r="M564" s="297">
        <f t="shared" si="115"/>
        <v>126157952.58000001</v>
      </c>
      <c r="N564" s="297">
        <f t="shared" ref="N564:N574" si="116">M564*10%+M564</f>
        <v>138773747.838</v>
      </c>
    </row>
    <row r="565" spans="1:14" s="20" customFormat="1">
      <c r="A565" s="253"/>
      <c r="B565" s="231"/>
      <c r="C565" s="32" t="s">
        <v>46</v>
      </c>
      <c r="D565" s="77">
        <v>21020101</v>
      </c>
      <c r="E565" s="135" t="s">
        <v>790</v>
      </c>
      <c r="F565" s="138">
        <v>37524943.849999972</v>
      </c>
      <c r="G565" s="297">
        <v>37524943.849999972</v>
      </c>
      <c r="H565" s="297"/>
      <c r="I565" s="297"/>
      <c r="J565" s="28">
        <v>37524943.849999972</v>
      </c>
      <c r="K565" s="488"/>
      <c r="L565" s="467">
        <v>37524943.849999972</v>
      </c>
      <c r="M565" s="297">
        <f t="shared" si="115"/>
        <v>41277438.23499997</v>
      </c>
      <c r="N565" s="297">
        <f t="shared" si="116"/>
        <v>45405182.05849997</v>
      </c>
    </row>
    <row r="566" spans="1:14" s="20" customFormat="1">
      <c r="A566" s="253"/>
      <c r="B566" s="231"/>
      <c r="C566" s="32" t="s">
        <v>46</v>
      </c>
      <c r="D566" s="77">
        <v>21020102</v>
      </c>
      <c r="E566" s="135" t="s">
        <v>727</v>
      </c>
      <c r="F566" s="138">
        <v>1768926.1799999997</v>
      </c>
      <c r="G566" s="297">
        <v>1768926.1799999997</v>
      </c>
      <c r="H566" s="297"/>
      <c r="I566" s="297"/>
      <c r="J566" s="28">
        <v>1768926.1799999997</v>
      </c>
      <c r="K566" s="488"/>
      <c r="L566" s="467">
        <v>1768926.1799999997</v>
      </c>
      <c r="M566" s="297">
        <f t="shared" si="115"/>
        <v>1945818.7979999997</v>
      </c>
      <c r="N566" s="297">
        <f t="shared" si="116"/>
        <v>2140400.6777999997</v>
      </c>
    </row>
    <row r="567" spans="1:14" s="20" customFormat="1">
      <c r="A567" s="253"/>
      <c r="B567" s="231"/>
      <c r="C567" s="32" t="s">
        <v>46</v>
      </c>
      <c r="D567" s="77">
        <v>21020103</v>
      </c>
      <c r="E567" s="135" t="s">
        <v>728</v>
      </c>
      <c r="F567" s="138">
        <v>884461.72200000007</v>
      </c>
      <c r="G567" s="297">
        <v>884461.72200000007</v>
      </c>
      <c r="H567" s="297"/>
      <c r="I567" s="297"/>
      <c r="J567" s="28">
        <v>884461.72200000007</v>
      </c>
      <c r="K567" s="488"/>
      <c r="L567" s="467">
        <v>884461.72200000007</v>
      </c>
      <c r="M567" s="297">
        <f t="shared" si="115"/>
        <v>972907.8942000001</v>
      </c>
      <c r="N567" s="297">
        <f t="shared" si="116"/>
        <v>1070198.68362</v>
      </c>
    </row>
    <row r="568" spans="1:14" s="20" customFormat="1">
      <c r="A568" s="253"/>
      <c r="B568" s="231"/>
      <c r="C568" s="32" t="s">
        <v>46</v>
      </c>
      <c r="D568" s="77">
        <v>21020104</v>
      </c>
      <c r="E568" s="135" t="s">
        <v>729</v>
      </c>
      <c r="F568" s="138">
        <v>884461.72200000007</v>
      </c>
      <c r="G568" s="297">
        <v>884461.72200000007</v>
      </c>
      <c r="H568" s="297"/>
      <c r="I568" s="297"/>
      <c r="J568" s="28">
        <v>884461.72200000007</v>
      </c>
      <c r="K568" s="488"/>
      <c r="L568" s="467">
        <v>884461.72200000007</v>
      </c>
      <c r="M568" s="297">
        <f t="shared" si="115"/>
        <v>972907.8942000001</v>
      </c>
      <c r="N568" s="297">
        <f t="shared" si="116"/>
        <v>1070198.68362</v>
      </c>
    </row>
    <row r="569" spans="1:14" s="20" customFormat="1">
      <c r="A569" s="253"/>
      <c r="B569" s="231"/>
      <c r="C569" s="32" t="s">
        <v>46</v>
      </c>
      <c r="D569" s="77">
        <v>21020105</v>
      </c>
      <c r="E569" s="135" t="s">
        <v>730</v>
      </c>
      <c r="F569" s="138">
        <v>131978.28000000003</v>
      </c>
      <c r="G569" s="297">
        <v>131978.28000000003</v>
      </c>
      <c r="H569" s="297"/>
      <c r="I569" s="297"/>
      <c r="J569" s="28">
        <v>131978.28000000003</v>
      </c>
      <c r="K569" s="488"/>
      <c r="L569" s="467">
        <v>131978.28000000003</v>
      </c>
      <c r="M569" s="297">
        <f t="shared" si="115"/>
        <v>145176.10800000004</v>
      </c>
      <c r="N569" s="297">
        <f t="shared" si="116"/>
        <v>159693.71880000003</v>
      </c>
    </row>
    <row r="570" spans="1:14" s="20" customFormat="1">
      <c r="A570" s="253"/>
      <c r="B570" s="231"/>
      <c r="C570" s="32" t="s">
        <v>46</v>
      </c>
      <c r="D570" s="77">
        <v>21020106</v>
      </c>
      <c r="E570" s="135" t="s">
        <v>731</v>
      </c>
      <c r="F570" s="138">
        <v>1761294.5879999995</v>
      </c>
      <c r="G570" s="297">
        <v>1761294.5879999995</v>
      </c>
      <c r="H570" s="297"/>
      <c r="I570" s="297"/>
      <c r="J570" s="28">
        <v>1761294.5879999995</v>
      </c>
      <c r="K570" s="488"/>
      <c r="L570" s="467">
        <v>1761294.5879999995</v>
      </c>
      <c r="M570" s="297">
        <f t="shared" si="115"/>
        <v>1937424.0467999994</v>
      </c>
      <c r="N570" s="297">
        <f t="shared" si="116"/>
        <v>2131166.4514799993</v>
      </c>
    </row>
    <row r="571" spans="1:14" s="20" customFormat="1">
      <c r="A571" s="253"/>
      <c r="B571" s="231"/>
      <c r="C571" s="32" t="s">
        <v>46</v>
      </c>
      <c r="D571" s="77">
        <v>21020107</v>
      </c>
      <c r="E571" s="135" t="s">
        <v>732</v>
      </c>
      <c r="F571" s="138">
        <v>1296000</v>
      </c>
      <c r="G571" s="297">
        <v>1296000</v>
      </c>
      <c r="H571" s="297"/>
      <c r="I571" s="297"/>
      <c r="J571" s="28">
        <v>1296000</v>
      </c>
      <c r="K571" s="488"/>
      <c r="L571" s="467">
        <v>1296000</v>
      </c>
      <c r="M571" s="297">
        <f t="shared" si="115"/>
        <v>1425600</v>
      </c>
      <c r="N571" s="297">
        <f t="shared" si="116"/>
        <v>1568160</v>
      </c>
    </row>
    <row r="572" spans="1:14" s="20" customFormat="1">
      <c r="A572" s="253"/>
      <c r="B572" s="231"/>
      <c r="C572" s="32" t="s">
        <v>46</v>
      </c>
      <c r="D572" s="77">
        <v>21020147</v>
      </c>
      <c r="E572" s="135" t="s">
        <v>864</v>
      </c>
      <c r="F572" s="138">
        <v>905760</v>
      </c>
      <c r="G572" s="297">
        <v>905760</v>
      </c>
      <c r="H572" s="297"/>
      <c r="I572" s="297">
        <v>905760</v>
      </c>
      <c r="J572" s="28">
        <v>0</v>
      </c>
      <c r="K572" s="488"/>
      <c r="L572" s="467">
        <v>0</v>
      </c>
      <c r="M572" s="297">
        <f t="shared" si="115"/>
        <v>996336</v>
      </c>
      <c r="N572" s="297">
        <f t="shared" si="116"/>
        <v>1095969.6000000001</v>
      </c>
    </row>
    <row r="573" spans="1:14" s="20" customFormat="1" ht="45">
      <c r="A573" s="253"/>
      <c r="B573" s="231"/>
      <c r="C573" s="430" t="s">
        <v>46</v>
      </c>
      <c r="D573" s="450">
        <v>21020127</v>
      </c>
      <c r="E573" s="240" t="s">
        <v>2188</v>
      </c>
      <c r="F573" s="138"/>
      <c r="G573" s="297">
        <v>1000000000</v>
      </c>
      <c r="H573" s="297"/>
      <c r="I573" s="297">
        <v>1000000000</v>
      </c>
      <c r="J573" s="28">
        <v>0</v>
      </c>
      <c r="K573" s="488"/>
      <c r="L573" s="467">
        <v>0</v>
      </c>
      <c r="M573" s="297">
        <f t="shared" si="115"/>
        <v>1100000000</v>
      </c>
      <c r="N573" s="297">
        <f t="shared" si="116"/>
        <v>1210000000</v>
      </c>
    </row>
    <row r="574" spans="1:14" s="20" customFormat="1">
      <c r="A574" s="253"/>
      <c r="B574" s="231"/>
      <c r="C574" s="30" t="s">
        <v>1842</v>
      </c>
      <c r="D574" s="23"/>
      <c r="E574" s="25"/>
      <c r="F574" s="137">
        <f>SUM(F563:F572)</f>
        <v>177536108.102</v>
      </c>
      <c r="G574" s="114">
        <f>SUM(G563:G573)</f>
        <v>1177536108.102</v>
      </c>
      <c r="H574" s="114">
        <f t="shared" ref="H574:I574" si="117">SUM(H563:H573)</f>
        <v>0</v>
      </c>
      <c r="I574" s="114">
        <f t="shared" si="117"/>
        <v>1000905760</v>
      </c>
      <c r="J574" s="114">
        <f>SUM(J563:J573)</f>
        <v>176630348.102</v>
      </c>
      <c r="K574" s="490"/>
      <c r="L574" s="468">
        <f>SUM(L563:L573)</f>
        <v>176630348.102</v>
      </c>
      <c r="M574" s="114">
        <f>SUM(M563:M573)</f>
        <v>1295289718.9122</v>
      </c>
      <c r="N574" s="114">
        <f t="shared" si="116"/>
        <v>1424818690.8034201</v>
      </c>
    </row>
    <row r="575" spans="1:14" s="20" customFormat="1">
      <c r="A575" s="253"/>
      <c r="B575" s="231"/>
      <c r="C575" s="32" t="s">
        <v>47</v>
      </c>
      <c r="D575" s="77">
        <v>22020105</v>
      </c>
      <c r="E575" s="135" t="s">
        <v>1733</v>
      </c>
      <c r="F575" s="136">
        <v>21530000</v>
      </c>
      <c r="G575" s="28">
        <v>21530000</v>
      </c>
      <c r="H575" s="28"/>
      <c r="I575" s="28"/>
      <c r="J575" s="28">
        <v>21530000</v>
      </c>
      <c r="K575" s="488">
        <f>J575*4.38%</f>
        <v>943014</v>
      </c>
      <c r="L575" s="469">
        <v>20586986</v>
      </c>
      <c r="M575" s="28">
        <v>2205000</v>
      </c>
      <c r="N575" s="28">
        <v>2205000</v>
      </c>
    </row>
    <row r="576" spans="1:14" s="20" customFormat="1">
      <c r="A576" s="253"/>
      <c r="B576" s="231"/>
      <c r="C576" s="32" t="s">
        <v>47</v>
      </c>
      <c r="D576" s="77">
        <v>22020114</v>
      </c>
      <c r="E576" s="135" t="s">
        <v>830</v>
      </c>
      <c r="F576" s="136">
        <v>267540000</v>
      </c>
      <c r="G576" s="28">
        <v>267540000</v>
      </c>
      <c r="H576" s="28"/>
      <c r="I576" s="28"/>
      <c r="J576" s="28">
        <v>267540000</v>
      </c>
      <c r="K576" s="488">
        <f t="shared" ref="K576:K589" si="118">J576*4.38%</f>
        <v>11718252</v>
      </c>
      <c r="L576" s="469">
        <v>255821748</v>
      </c>
      <c r="M576" s="28">
        <v>248520000</v>
      </c>
      <c r="N576" s="28">
        <v>248520000</v>
      </c>
    </row>
    <row r="577" spans="1:14" s="20" customFormat="1">
      <c r="A577" s="253"/>
      <c r="B577" s="231"/>
      <c r="C577" s="32" t="s">
        <v>47</v>
      </c>
      <c r="D577" s="77">
        <v>22020202</v>
      </c>
      <c r="E577" s="135" t="s">
        <v>865</v>
      </c>
      <c r="F577" s="136">
        <v>480000</v>
      </c>
      <c r="G577" s="28">
        <v>480000</v>
      </c>
      <c r="H577" s="28"/>
      <c r="I577" s="28"/>
      <c r="J577" s="28">
        <v>480000</v>
      </c>
      <c r="K577" s="488">
        <f t="shared" si="118"/>
        <v>21024</v>
      </c>
      <c r="L577" s="469">
        <v>458976</v>
      </c>
      <c r="M577" s="28">
        <v>480000</v>
      </c>
      <c r="N577" s="28">
        <v>480000</v>
      </c>
    </row>
    <row r="578" spans="1:14" s="20" customFormat="1">
      <c r="A578" s="253"/>
      <c r="B578" s="231"/>
      <c r="C578" s="32" t="s">
        <v>47</v>
      </c>
      <c r="D578" s="77">
        <v>22020301</v>
      </c>
      <c r="E578" s="135" t="s">
        <v>737</v>
      </c>
      <c r="F578" s="136">
        <v>5656000</v>
      </c>
      <c r="G578" s="28">
        <v>5656000</v>
      </c>
      <c r="H578" s="28"/>
      <c r="I578" s="28"/>
      <c r="J578" s="28">
        <v>5656000</v>
      </c>
      <c r="K578" s="488">
        <f t="shared" si="118"/>
        <v>247732.8</v>
      </c>
      <c r="L578" s="469">
        <v>5408267.2000000002</v>
      </c>
      <c r="M578" s="28">
        <v>5656000</v>
      </c>
      <c r="N578" s="28">
        <v>5656000</v>
      </c>
    </row>
    <row r="579" spans="1:14" s="20" customFormat="1">
      <c r="A579" s="253"/>
      <c r="B579" s="231"/>
      <c r="C579" s="32" t="s">
        <v>47</v>
      </c>
      <c r="D579" s="77">
        <v>22020305</v>
      </c>
      <c r="E579" s="135" t="s">
        <v>755</v>
      </c>
      <c r="F579" s="136">
        <v>11658000</v>
      </c>
      <c r="G579" s="28">
        <v>11658000</v>
      </c>
      <c r="H579" s="28"/>
      <c r="I579" s="28"/>
      <c r="J579" s="28">
        <v>11658000</v>
      </c>
      <c r="K579" s="488">
        <f t="shared" si="118"/>
        <v>510620.39999999997</v>
      </c>
      <c r="L579" s="469">
        <v>11147379.600000001</v>
      </c>
      <c r="M579" s="28">
        <f>G579*10%+G579</f>
        <v>12823800</v>
      </c>
      <c r="N579" s="28">
        <f>M579*10%+M579</f>
        <v>14106180</v>
      </c>
    </row>
    <row r="580" spans="1:14" s="20" customFormat="1">
      <c r="A580" s="253"/>
      <c r="B580" s="231"/>
      <c r="C580" s="32" t="s">
        <v>47</v>
      </c>
      <c r="D580" s="77">
        <v>22020401</v>
      </c>
      <c r="E580" s="135" t="s">
        <v>741</v>
      </c>
      <c r="F580" s="136">
        <v>4144000</v>
      </c>
      <c r="G580" s="28">
        <v>4144000</v>
      </c>
      <c r="H580" s="28"/>
      <c r="I580" s="28"/>
      <c r="J580" s="28">
        <v>4144000</v>
      </c>
      <c r="K580" s="488">
        <f t="shared" si="118"/>
        <v>181507.19999999998</v>
      </c>
      <c r="L580" s="469">
        <v>3962492.8000000003</v>
      </c>
      <c r="M580" s="28">
        <v>4144000</v>
      </c>
      <c r="N580" s="28">
        <v>4144000</v>
      </c>
    </row>
    <row r="581" spans="1:14" s="20" customFormat="1">
      <c r="A581" s="253"/>
      <c r="B581" s="231"/>
      <c r="C581" s="32" t="s">
        <v>47</v>
      </c>
      <c r="D581" s="77">
        <v>22020404</v>
      </c>
      <c r="E581" s="135" t="s">
        <v>742</v>
      </c>
      <c r="F581" s="136">
        <v>2520000</v>
      </c>
      <c r="G581" s="28">
        <v>2520000</v>
      </c>
      <c r="H581" s="28"/>
      <c r="I581" s="28"/>
      <c r="J581" s="28">
        <v>2520000</v>
      </c>
      <c r="K581" s="488">
        <f t="shared" si="118"/>
        <v>110376</v>
      </c>
      <c r="L581" s="469">
        <v>2409624</v>
      </c>
      <c r="M581" s="28">
        <v>1920000</v>
      </c>
      <c r="N581" s="28">
        <v>1920000</v>
      </c>
    </row>
    <row r="582" spans="1:14" s="20" customFormat="1">
      <c r="A582" s="253"/>
      <c r="B582" s="231"/>
      <c r="C582" s="32" t="s">
        <v>47</v>
      </c>
      <c r="D582" s="77">
        <v>22020416</v>
      </c>
      <c r="E582" s="135" t="s">
        <v>782</v>
      </c>
      <c r="F582" s="136">
        <v>185953620</v>
      </c>
      <c r="G582" s="28">
        <v>185953620</v>
      </c>
      <c r="H582" s="28"/>
      <c r="I582" s="28"/>
      <c r="J582" s="28">
        <v>185953620</v>
      </c>
      <c r="K582" s="488">
        <f t="shared" si="118"/>
        <v>8144768.5559999999</v>
      </c>
      <c r="L582" s="469">
        <v>177808851.44400001</v>
      </c>
      <c r="M582" s="28">
        <v>185953620</v>
      </c>
      <c r="N582" s="28">
        <v>185953620</v>
      </c>
    </row>
    <row r="583" spans="1:14" s="20" customFormat="1">
      <c r="A583" s="253"/>
      <c r="B583" s="231"/>
      <c r="C583" s="32" t="s">
        <v>47</v>
      </c>
      <c r="D583" s="77">
        <v>22020601</v>
      </c>
      <c r="E583" s="135" t="s">
        <v>766</v>
      </c>
      <c r="F583" s="136">
        <v>108000000</v>
      </c>
      <c r="G583" s="28">
        <v>108000000</v>
      </c>
      <c r="H583" s="28"/>
      <c r="I583" s="28"/>
      <c r="J583" s="28">
        <v>108000000</v>
      </c>
      <c r="K583" s="488">
        <f t="shared" si="118"/>
        <v>4730400</v>
      </c>
      <c r="L583" s="469">
        <v>103269600</v>
      </c>
      <c r="M583" s="28">
        <f>G583*10%+G583</f>
        <v>118800000</v>
      </c>
      <c r="N583" s="28">
        <f>M583*10%+M583</f>
        <v>130680000</v>
      </c>
    </row>
    <row r="584" spans="1:14" s="20" customFormat="1">
      <c r="A584" s="253"/>
      <c r="B584" s="231"/>
      <c r="C584" s="32" t="s">
        <v>47</v>
      </c>
      <c r="D584" s="77">
        <v>22020901</v>
      </c>
      <c r="E584" s="135" t="s">
        <v>749</v>
      </c>
      <c r="F584" s="136">
        <v>90000</v>
      </c>
      <c r="G584" s="28">
        <v>90000</v>
      </c>
      <c r="H584" s="28"/>
      <c r="I584" s="28"/>
      <c r="J584" s="28">
        <v>90000</v>
      </c>
      <c r="K584" s="488">
        <f t="shared" si="118"/>
        <v>3942</v>
      </c>
      <c r="L584" s="469">
        <v>86058</v>
      </c>
      <c r="M584" s="28">
        <v>90000</v>
      </c>
      <c r="N584" s="28">
        <v>90000</v>
      </c>
    </row>
    <row r="585" spans="1:14" s="20" customFormat="1">
      <c r="A585" s="253"/>
      <c r="B585" s="231"/>
      <c r="C585" s="32" t="s">
        <v>47</v>
      </c>
      <c r="D585" s="77">
        <v>22021007</v>
      </c>
      <c r="E585" s="135" t="s">
        <v>856</v>
      </c>
      <c r="F585" s="136">
        <v>7404000</v>
      </c>
      <c r="G585" s="28">
        <v>7404000</v>
      </c>
      <c r="H585" s="28"/>
      <c r="I585" s="28"/>
      <c r="J585" s="28">
        <v>7404000</v>
      </c>
      <c r="K585" s="488">
        <f t="shared" si="118"/>
        <v>324295.2</v>
      </c>
      <c r="L585" s="469">
        <v>7079704.8000000007</v>
      </c>
      <c r="M585" s="28">
        <v>7404000</v>
      </c>
      <c r="N585" s="28">
        <v>7404000</v>
      </c>
    </row>
    <row r="586" spans="1:14" s="20" customFormat="1">
      <c r="A586" s="253"/>
      <c r="B586" s="231"/>
      <c r="C586" s="32" t="s">
        <v>47</v>
      </c>
      <c r="D586" s="77">
        <v>22021017</v>
      </c>
      <c r="E586" s="135" t="s">
        <v>866</v>
      </c>
      <c r="F586" s="136">
        <v>58100000</v>
      </c>
      <c r="G586" s="28">
        <v>58100000</v>
      </c>
      <c r="H586" s="28"/>
      <c r="I586" s="28"/>
      <c r="J586" s="28">
        <v>58100000</v>
      </c>
      <c r="K586" s="488">
        <f t="shared" si="118"/>
        <v>2544780</v>
      </c>
      <c r="L586" s="469">
        <v>55555220</v>
      </c>
      <c r="M586" s="28">
        <v>58100000</v>
      </c>
      <c r="N586" s="28">
        <v>58100000</v>
      </c>
    </row>
    <row r="587" spans="1:14" s="20" customFormat="1">
      <c r="A587" s="253"/>
      <c r="B587" s="231"/>
      <c r="C587" s="32" t="s">
        <v>47</v>
      </c>
      <c r="D587" s="77">
        <v>22021029</v>
      </c>
      <c r="E587" s="135" t="s">
        <v>867</v>
      </c>
      <c r="F587" s="136">
        <v>45000000</v>
      </c>
      <c r="G587" s="28">
        <v>45000000</v>
      </c>
      <c r="H587" s="28"/>
      <c r="I587" s="28"/>
      <c r="J587" s="28">
        <v>45000000</v>
      </c>
      <c r="K587" s="488">
        <f t="shared" si="118"/>
        <v>1971000</v>
      </c>
      <c r="L587" s="469">
        <v>43029000</v>
      </c>
      <c r="M587" s="28">
        <f>G587*10%+G587</f>
        <v>49500000</v>
      </c>
      <c r="N587" s="28">
        <f>M587*10%+M587</f>
        <v>54450000</v>
      </c>
    </row>
    <row r="588" spans="1:14" s="20" customFormat="1">
      <c r="A588" s="253"/>
      <c r="B588" s="231"/>
      <c r="C588" s="32" t="s">
        <v>47</v>
      </c>
      <c r="D588" s="77">
        <v>22021021</v>
      </c>
      <c r="E588" s="135" t="s">
        <v>832</v>
      </c>
      <c r="F588" s="136">
        <v>15225000</v>
      </c>
      <c r="G588" s="28">
        <v>15225000</v>
      </c>
      <c r="H588" s="28"/>
      <c r="I588" s="28"/>
      <c r="J588" s="28">
        <v>15225000</v>
      </c>
      <c r="K588" s="488">
        <f t="shared" si="118"/>
        <v>666855</v>
      </c>
      <c r="L588" s="469">
        <v>14558145</v>
      </c>
      <c r="M588" s="28">
        <v>15225000</v>
      </c>
      <c r="N588" s="28">
        <v>15225000</v>
      </c>
    </row>
    <row r="589" spans="1:14" s="20" customFormat="1">
      <c r="A589" s="253"/>
      <c r="B589" s="231"/>
      <c r="C589" s="32" t="s">
        <v>47</v>
      </c>
      <c r="D589" s="77">
        <v>22021026</v>
      </c>
      <c r="E589" s="135" t="s">
        <v>751</v>
      </c>
      <c r="F589" s="136">
        <v>8400000</v>
      </c>
      <c r="G589" s="28">
        <v>8400000</v>
      </c>
      <c r="H589" s="28"/>
      <c r="I589" s="28"/>
      <c r="J589" s="28">
        <v>8400000</v>
      </c>
      <c r="K589" s="488">
        <f t="shared" si="118"/>
        <v>367920</v>
      </c>
      <c r="L589" s="469">
        <v>8032080</v>
      </c>
      <c r="M589" s="28">
        <v>8400000</v>
      </c>
      <c r="N589" s="28">
        <v>8400000</v>
      </c>
    </row>
    <row r="590" spans="1:14" s="20" customFormat="1">
      <c r="A590" s="238"/>
      <c r="B590" s="231"/>
      <c r="C590" s="30" t="s">
        <v>1837</v>
      </c>
      <c r="D590" s="23"/>
      <c r="E590" s="25"/>
      <c r="F590" s="137">
        <f>SUM(F575:F589)</f>
        <v>741700620</v>
      </c>
      <c r="G590" s="114">
        <f>SUM(G575:G589)</f>
        <v>741700620</v>
      </c>
      <c r="H590" s="114">
        <f t="shared" ref="H590:I590" si="119">SUM(H575:H589)</f>
        <v>0</v>
      </c>
      <c r="I590" s="114">
        <f t="shared" si="119"/>
        <v>0</v>
      </c>
      <c r="J590" s="114">
        <f>SUM(J575:J589)</f>
        <v>741700620</v>
      </c>
      <c r="K590" s="490">
        <f>SUM(K575:K589)</f>
        <v>32486487.155999999</v>
      </c>
      <c r="L590" s="468">
        <f>SUM(L575:L589)</f>
        <v>709214132.84399998</v>
      </c>
      <c r="M590" s="114">
        <f>SUM(M575:M589)</f>
        <v>719221420</v>
      </c>
      <c r="N590" s="114">
        <f>SUM(N575:N589)</f>
        <v>737333800</v>
      </c>
    </row>
    <row r="591" spans="1:14" s="66" customFormat="1">
      <c r="A591" s="238" t="s">
        <v>862</v>
      </c>
      <c r="B591" s="231" t="s">
        <v>1861</v>
      </c>
      <c r="C591" s="30"/>
      <c r="D591" s="23"/>
      <c r="E591" s="25"/>
      <c r="F591" s="137">
        <f>F590+F574</f>
        <v>919236728.102</v>
      </c>
      <c r="G591" s="114">
        <f>G590+G574</f>
        <v>1919236728.102</v>
      </c>
      <c r="H591" s="114">
        <f t="shared" ref="H591:I591" si="120">H590+H574</f>
        <v>0</v>
      </c>
      <c r="I591" s="114">
        <f t="shared" si="120"/>
        <v>1000905760</v>
      </c>
      <c r="J591" s="114">
        <f>J590+J574</f>
        <v>918330968.102</v>
      </c>
      <c r="K591" s="490"/>
      <c r="L591" s="468">
        <f>L590+L574</f>
        <v>885844480.94599998</v>
      </c>
      <c r="M591" s="114">
        <f>M590+M574</f>
        <v>2014511138.9122</v>
      </c>
      <c r="N591" s="114">
        <f>N590+N574</f>
        <v>2162152490.8034201</v>
      </c>
    </row>
    <row r="592" spans="1:14" s="20" customFormat="1" ht="21">
      <c r="A592" s="252"/>
      <c r="B592" s="443"/>
      <c r="C592" s="228"/>
      <c r="D592" s="229"/>
      <c r="E592" s="230"/>
      <c r="F592" s="215"/>
      <c r="G592" s="296"/>
      <c r="H592" s="296"/>
      <c r="I592" s="296"/>
      <c r="J592" s="28">
        <f>G592+H592-I592</f>
        <v>0</v>
      </c>
      <c r="K592" s="488">
        <f>H592+I592-J592</f>
        <v>0</v>
      </c>
      <c r="L592" s="468">
        <f>G592-J592</f>
        <v>0</v>
      </c>
      <c r="M592" s="296"/>
      <c r="N592" s="296"/>
    </row>
    <row r="593" spans="1:14" s="20" customFormat="1" ht="30">
      <c r="A593" s="238" t="s">
        <v>869</v>
      </c>
      <c r="B593" s="231" t="s">
        <v>868</v>
      </c>
      <c r="C593" s="32" t="s">
        <v>46</v>
      </c>
      <c r="D593" s="77"/>
      <c r="E593" s="135"/>
      <c r="F593" s="136">
        <v>25356311.039999999</v>
      </c>
      <c r="G593" s="28">
        <v>25356311.039999999</v>
      </c>
      <c r="H593" s="28"/>
      <c r="I593" s="28"/>
      <c r="J593" s="28">
        <v>25356311.039999999</v>
      </c>
      <c r="K593" s="488"/>
      <c r="L593" s="467">
        <v>25356311.039999999</v>
      </c>
      <c r="M593" s="28">
        <f>G593*10%+G593</f>
        <v>27891942.144000001</v>
      </c>
      <c r="N593" s="28">
        <f>M593*10%+M593</f>
        <v>30681136.358400002</v>
      </c>
    </row>
    <row r="594" spans="1:14" s="20" customFormat="1">
      <c r="A594" s="238"/>
      <c r="B594" s="231"/>
      <c r="C594" s="30" t="s">
        <v>1836</v>
      </c>
      <c r="D594" s="23"/>
      <c r="E594" s="25"/>
      <c r="F594" s="137">
        <f>SUM(F593)</f>
        <v>25356311.039999999</v>
      </c>
      <c r="G594" s="114">
        <f>SUM(G593)</f>
        <v>25356311.039999999</v>
      </c>
      <c r="H594" s="114">
        <f t="shared" ref="H594:I594" si="121">SUM(H593)</f>
        <v>0</v>
      </c>
      <c r="I594" s="114">
        <f t="shared" si="121"/>
        <v>0</v>
      </c>
      <c r="J594" s="114">
        <f>SUM(J593)</f>
        <v>25356311.039999999</v>
      </c>
      <c r="K594" s="490"/>
      <c r="L594" s="468">
        <f>SUM(L593)</f>
        <v>25356311.039999999</v>
      </c>
      <c r="M594" s="114">
        <f>SUM(M593)</f>
        <v>27891942.144000001</v>
      </c>
      <c r="N594" s="114">
        <f>SUM(N593)</f>
        <v>30681136.358400002</v>
      </c>
    </row>
    <row r="595" spans="1:14" s="20" customFormat="1">
      <c r="A595" s="253"/>
      <c r="B595" s="231"/>
      <c r="C595" s="32" t="s">
        <v>47</v>
      </c>
      <c r="D595" s="77">
        <v>22020105</v>
      </c>
      <c r="E595" s="135" t="s">
        <v>1733</v>
      </c>
      <c r="F595" s="138">
        <f>263500+3525000</f>
        <v>3788500</v>
      </c>
      <c r="G595" s="297">
        <f>263500+3525000</f>
        <v>3788500</v>
      </c>
      <c r="H595" s="297"/>
      <c r="I595" s="297"/>
      <c r="J595" s="28">
        <v>3788500</v>
      </c>
      <c r="K595" s="488">
        <f>J595*4.38%</f>
        <v>165936.29999999999</v>
      </c>
      <c r="L595" s="469">
        <v>3622563.7</v>
      </c>
      <c r="M595" s="297">
        <v>263500</v>
      </c>
      <c r="N595" s="297">
        <v>263500</v>
      </c>
    </row>
    <row r="596" spans="1:14" s="20" customFormat="1">
      <c r="A596" s="253"/>
      <c r="B596" s="231"/>
      <c r="C596" s="32" t="s">
        <v>47</v>
      </c>
      <c r="D596" s="77">
        <v>22020108</v>
      </c>
      <c r="E596" s="135" t="s">
        <v>812</v>
      </c>
      <c r="F596" s="138">
        <v>72000</v>
      </c>
      <c r="G596" s="297">
        <v>72000</v>
      </c>
      <c r="H596" s="297"/>
      <c r="I596" s="297"/>
      <c r="J596" s="28">
        <v>72000</v>
      </c>
      <c r="K596" s="488">
        <f t="shared" ref="K596:K609" si="122">J596*4.38%</f>
        <v>3153.6</v>
      </c>
      <c r="L596" s="469">
        <v>68846.400000000009</v>
      </c>
      <c r="M596" s="297">
        <v>72000</v>
      </c>
      <c r="N596" s="297">
        <v>72000</v>
      </c>
    </row>
    <row r="597" spans="1:14" s="20" customFormat="1">
      <c r="A597" s="253"/>
      <c r="B597" s="231"/>
      <c r="C597" s="32" t="s">
        <v>47</v>
      </c>
      <c r="D597" s="77">
        <v>22020113</v>
      </c>
      <c r="E597" s="135" t="s">
        <v>870</v>
      </c>
      <c r="F597" s="138">
        <v>18602000</v>
      </c>
      <c r="G597" s="297">
        <v>18602000</v>
      </c>
      <c r="H597" s="297">
        <v>20000000</v>
      </c>
      <c r="I597" s="297"/>
      <c r="J597" s="28">
        <v>38602000</v>
      </c>
      <c r="K597" s="488">
        <f t="shared" si="122"/>
        <v>1690767.5999999999</v>
      </c>
      <c r="L597" s="469">
        <v>36911232.399999999</v>
      </c>
      <c r="M597" s="297">
        <v>18602000</v>
      </c>
      <c r="N597" s="297">
        <v>18602000</v>
      </c>
    </row>
    <row r="598" spans="1:14" s="20" customFormat="1">
      <c r="A598" s="253"/>
      <c r="B598" s="231"/>
      <c r="C598" s="32" t="s">
        <v>47</v>
      </c>
      <c r="D598" s="77">
        <v>22020301</v>
      </c>
      <c r="E598" s="135" t="s">
        <v>737</v>
      </c>
      <c r="F598" s="138">
        <v>2534200</v>
      </c>
      <c r="G598" s="297">
        <v>2534200</v>
      </c>
      <c r="H598" s="297"/>
      <c r="I598" s="297"/>
      <c r="J598" s="28">
        <v>2534200</v>
      </c>
      <c r="K598" s="488">
        <f t="shared" si="122"/>
        <v>110997.95999999999</v>
      </c>
      <c r="L598" s="469">
        <v>2423202.04</v>
      </c>
      <c r="M598" s="297">
        <v>2540200</v>
      </c>
      <c r="N598" s="297">
        <v>2540200</v>
      </c>
    </row>
    <row r="599" spans="1:14" s="20" customFormat="1">
      <c r="A599" s="253"/>
      <c r="B599" s="231"/>
      <c r="C599" s="32" t="s">
        <v>47</v>
      </c>
      <c r="D599" s="77">
        <v>22020305</v>
      </c>
      <c r="E599" s="135" t="s">
        <v>755</v>
      </c>
      <c r="F599" s="138">
        <v>238000</v>
      </c>
      <c r="G599" s="297">
        <v>238000</v>
      </c>
      <c r="H599" s="297"/>
      <c r="I599" s="297"/>
      <c r="J599" s="28">
        <v>238000</v>
      </c>
      <c r="K599" s="488">
        <f t="shared" si="122"/>
        <v>10424.4</v>
      </c>
      <c r="L599" s="469">
        <v>227575.6</v>
      </c>
      <c r="M599" s="297">
        <v>218000</v>
      </c>
      <c r="N599" s="297">
        <v>618000</v>
      </c>
    </row>
    <row r="600" spans="1:14" s="20" customFormat="1">
      <c r="A600" s="253"/>
      <c r="B600" s="231"/>
      <c r="C600" s="32" t="s">
        <v>47</v>
      </c>
      <c r="D600" s="77">
        <v>22020401</v>
      </c>
      <c r="E600" s="135" t="s">
        <v>741</v>
      </c>
      <c r="F600" s="138">
        <v>600000</v>
      </c>
      <c r="G600" s="297">
        <v>600000</v>
      </c>
      <c r="H600" s="297"/>
      <c r="I600" s="297"/>
      <c r="J600" s="28">
        <v>600000</v>
      </c>
      <c r="K600" s="488">
        <f t="shared" si="122"/>
        <v>26280</v>
      </c>
      <c r="L600" s="469">
        <v>573720</v>
      </c>
      <c r="M600" s="297">
        <v>600000</v>
      </c>
      <c r="N600" s="297">
        <v>600000</v>
      </c>
    </row>
    <row r="601" spans="1:14" s="20" customFormat="1">
      <c r="A601" s="253"/>
      <c r="B601" s="231"/>
      <c r="C601" s="32" t="s">
        <v>47</v>
      </c>
      <c r="D601" s="77">
        <v>22020404</v>
      </c>
      <c r="E601" s="135" t="s">
        <v>742</v>
      </c>
      <c r="F601" s="138">
        <v>5040000</v>
      </c>
      <c r="G601" s="297">
        <v>5040000</v>
      </c>
      <c r="H601" s="297"/>
      <c r="I601" s="297"/>
      <c r="J601" s="28">
        <v>5040000</v>
      </c>
      <c r="K601" s="488">
        <f t="shared" si="122"/>
        <v>220752</v>
      </c>
      <c r="L601" s="469">
        <v>4819248</v>
      </c>
      <c r="M601" s="297">
        <v>5040000</v>
      </c>
      <c r="N601" s="297">
        <v>5040000</v>
      </c>
    </row>
    <row r="602" spans="1:14" s="20" customFormat="1">
      <c r="A602" s="253"/>
      <c r="B602" s="231"/>
      <c r="C602" s="32" t="s">
        <v>47</v>
      </c>
      <c r="D602" s="77">
        <v>22020405</v>
      </c>
      <c r="E602" s="135" t="s">
        <v>743</v>
      </c>
      <c r="F602" s="138">
        <v>960000</v>
      </c>
      <c r="G602" s="297">
        <v>960000</v>
      </c>
      <c r="H602" s="297"/>
      <c r="I602" s="297"/>
      <c r="J602" s="28">
        <v>960000</v>
      </c>
      <c r="K602" s="488">
        <f t="shared" si="122"/>
        <v>42048</v>
      </c>
      <c r="L602" s="469">
        <v>917952</v>
      </c>
      <c r="M602" s="297">
        <v>960000</v>
      </c>
      <c r="N602" s="297">
        <v>960000</v>
      </c>
    </row>
    <row r="603" spans="1:14" s="20" customFormat="1">
      <c r="A603" s="253"/>
      <c r="B603" s="231"/>
      <c r="C603" s="32" t="s">
        <v>47</v>
      </c>
      <c r="D603" s="77">
        <v>22020605</v>
      </c>
      <c r="E603" s="135" t="s">
        <v>768</v>
      </c>
      <c r="F603" s="138">
        <v>720000</v>
      </c>
      <c r="G603" s="297">
        <v>720000</v>
      </c>
      <c r="H603" s="297"/>
      <c r="I603" s="297"/>
      <c r="J603" s="28">
        <v>720000</v>
      </c>
      <c r="K603" s="488">
        <f t="shared" si="122"/>
        <v>31536</v>
      </c>
      <c r="L603" s="469">
        <v>688464</v>
      </c>
      <c r="M603" s="297">
        <v>720000</v>
      </c>
      <c r="N603" s="297">
        <v>720000</v>
      </c>
    </row>
    <row r="604" spans="1:14" s="20" customFormat="1">
      <c r="A604" s="253"/>
      <c r="B604" s="231"/>
      <c r="C604" s="32" t="s">
        <v>47</v>
      </c>
      <c r="D604" s="77">
        <v>22020801</v>
      </c>
      <c r="E604" s="135" t="s">
        <v>747</v>
      </c>
      <c r="F604" s="138">
        <v>719200</v>
      </c>
      <c r="G604" s="297">
        <v>719200</v>
      </c>
      <c r="H604" s="297"/>
      <c r="I604" s="297"/>
      <c r="J604" s="28">
        <v>719200</v>
      </c>
      <c r="K604" s="488">
        <f t="shared" si="122"/>
        <v>31500.959999999999</v>
      </c>
      <c r="L604" s="469">
        <v>687699.04</v>
      </c>
      <c r="M604" s="297">
        <v>725000</v>
      </c>
      <c r="N604" s="297">
        <v>725000</v>
      </c>
    </row>
    <row r="605" spans="1:14" s="20" customFormat="1">
      <c r="A605" s="253"/>
      <c r="B605" s="231"/>
      <c r="C605" s="32" t="s">
        <v>47</v>
      </c>
      <c r="D605" s="77">
        <v>22020803</v>
      </c>
      <c r="E605" s="135" t="s">
        <v>748</v>
      </c>
      <c r="F605" s="138">
        <v>1000000</v>
      </c>
      <c r="G605" s="297">
        <v>1000000</v>
      </c>
      <c r="H605" s="297"/>
      <c r="I605" s="297"/>
      <c r="J605" s="28">
        <v>1000000</v>
      </c>
      <c r="K605" s="488">
        <f t="shared" si="122"/>
        <v>43800</v>
      </c>
      <c r="L605" s="469">
        <v>956200</v>
      </c>
      <c r="M605" s="297">
        <f>G605*10%+G605</f>
        <v>1100000</v>
      </c>
      <c r="N605" s="297">
        <f>M605*10%+M605</f>
        <v>1210000</v>
      </c>
    </row>
    <row r="606" spans="1:14" s="20" customFormat="1">
      <c r="A606" s="253"/>
      <c r="B606" s="231"/>
      <c r="C606" s="32" t="s">
        <v>47</v>
      </c>
      <c r="D606" s="77">
        <v>22020901</v>
      </c>
      <c r="E606" s="135" t="s">
        <v>749</v>
      </c>
      <c r="F606" s="138">
        <v>20000</v>
      </c>
      <c r="G606" s="297">
        <v>20000</v>
      </c>
      <c r="H606" s="297"/>
      <c r="I606" s="297"/>
      <c r="J606" s="28">
        <v>20000</v>
      </c>
      <c r="K606" s="488">
        <f t="shared" si="122"/>
        <v>876</v>
      </c>
      <c r="L606" s="469">
        <v>19124</v>
      </c>
      <c r="M606" s="297">
        <f>G606*10%+G606</f>
        <v>22000</v>
      </c>
      <c r="N606" s="297">
        <f>M606*10%+M606</f>
        <v>24200</v>
      </c>
    </row>
    <row r="607" spans="1:14" s="20" customFormat="1">
      <c r="A607" s="253"/>
      <c r="B607" s="231"/>
      <c r="C607" s="32" t="s">
        <v>47</v>
      </c>
      <c r="D607" s="77">
        <v>22021001</v>
      </c>
      <c r="E607" s="135" t="s">
        <v>772</v>
      </c>
      <c r="F607" s="138">
        <v>666600</v>
      </c>
      <c r="G607" s="297">
        <v>666600</v>
      </c>
      <c r="H607" s="297"/>
      <c r="I607" s="297"/>
      <c r="J607" s="28">
        <v>666600</v>
      </c>
      <c r="K607" s="488">
        <f t="shared" si="122"/>
        <v>29197.079999999998</v>
      </c>
      <c r="L607" s="469">
        <v>637402.92000000004</v>
      </c>
      <c r="M607" s="297">
        <v>631600</v>
      </c>
      <c r="N607" s="297">
        <v>631600</v>
      </c>
    </row>
    <row r="608" spans="1:14" s="20" customFormat="1">
      <c r="A608" s="253"/>
      <c r="B608" s="231"/>
      <c r="C608" s="32" t="s">
        <v>47</v>
      </c>
      <c r="D608" s="77">
        <v>22021003</v>
      </c>
      <c r="E608" s="135" t="s">
        <v>760</v>
      </c>
      <c r="F608" s="138">
        <v>1722000</v>
      </c>
      <c r="G608" s="297">
        <v>1722000</v>
      </c>
      <c r="H608" s="297"/>
      <c r="I608" s="297"/>
      <c r="J608" s="28">
        <v>1722000</v>
      </c>
      <c r="K608" s="488">
        <f t="shared" si="122"/>
        <v>75423.599999999991</v>
      </c>
      <c r="L608" s="469">
        <v>1646576.4000000001</v>
      </c>
      <c r="M608" s="297">
        <v>1326000</v>
      </c>
      <c r="N608" s="297">
        <v>1326000</v>
      </c>
    </row>
    <row r="609" spans="1:14" s="20" customFormat="1">
      <c r="A609" s="253"/>
      <c r="B609" s="231"/>
      <c r="C609" s="32" t="s">
        <v>47</v>
      </c>
      <c r="D609" s="77">
        <v>22021014</v>
      </c>
      <c r="E609" s="135" t="s">
        <v>800</v>
      </c>
      <c r="F609" s="138">
        <v>50000</v>
      </c>
      <c r="G609" s="297">
        <v>50000</v>
      </c>
      <c r="H609" s="297"/>
      <c r="I609" s="297"/>
      <c r="J609" s="28">
        <v>50000</v>
      </c>
      <c r="K609" s="488">
        <f t="shared" si="122"/>
        <v>2190</v>
      </c>
      <c r="L609" s="469">
        <v>47810</v>
      </c>
      <c r="M609" s="297">
        <v>0</v>
      </c>
      <c r="N609" s="297">
        <v>0</v>
      </c>
    </row>
    <row r="610" spans="1:14" s="20" customFormat="1">
      <c r="A610" s="238"/>
      <c r="B610" s="231"/>
      <c r="C610" s="30" t="s">
        <v>1837</v>
      </c>
      <c r="D610" s="23"/>
      <c r="E610" s="25"/>
      <c r="F610" s="137">
        <f>SUM(F595:F609)</f>
        <v>36732500</v>
      </c>
      <c r="G610" s="114">
        <f>SUM(G595:G609)</f>
        <v>36732500</v>
      </c>
      <c r="H610" s="114">
        <f t="shared" ref="H610:I610" si="123">SUM(H595:H609)</f>
        <v>20000000</v>
      </c>
      <c r="I610" s="114">
        <f t="shared" si="123"/>
        <v>0</v>
      </c>
      <c r="J610" s="114">
        <f>SUM(J595:J609)</f>
        <v>56732500</v>
      </c>
      <c r="K610" s="490">
        <f>SUM(K595:K609)</f>
        <v>2484883.4999999995</v>
      </c>
      <c r="L610" s="468">
        <f>SUM(L595:L609)</f>
        <v>54247616.5</v>
      </c>
      <c r="M610" s="114">
        <f>SUM(M595:M609)</f>
        <v>32820300</v>
      </c>
      <c r="N610" s="114">
        <f>SUM(N595:N609)</f>
        <v>33332500</v>
      </c>
    </row>
    <row r="611" spans="1:14" s="66" customFormat="1" ht="45">
      <c r="A611" s="238" t="s">
        <v>869</v>
      </c>
      <c r="B611" s="231" t="s">
        <v>1862</v>
      </c>
      <c r="C611" s="30"/>
      <c r="D611" s="23"/>
      <c r="E611" s="25"/>
      <c r="F611" s="137">
        <f>F610+F594</f>
        <v>62088811.039999999</v>
      </c>
      <c r="G611" s="114">
        <f>G610+G594</f>
        <v>62088811.039999999</v>
      </c>
      <c r="H611" s="114">
        <f t="shared" ref="H611:I611" si="124">H610+H594</f>
        <v>20000000</v>
      </c>
      <c r="I611" s="114">
        <f t="shared" si="124"/>
        <v>0</v>
      </c>
      <c r="J611" s="114">
        <f>J610+J594</f>
        <v>82088811.039999992</v>
      </c>
      <c r="K611" s="490"/>
      <c r="L611" s="468">
        <f>L610+L594</f>
        <v>79603927.539999992</v>
      </c>
      <c r="M611" s="114">
        <f>M610+M594</f>
        <v>60712242.144000001</v>
      </c>
      <c r="N611" s="114">
        <f>N610+N594</f>
        <v>64013636.358400002</v>
      </c>
    </row>
    <row r="612" spans="1:14" s="20" customFormat="1" ht="21">
      <c r="A612" s="252"/>
      <c r="B612" s="443"/>
      <c r="C612" s="228"/>
      <c r="D612" s="229"/>
      <c r="E612" s="230"/>
      <c r="F612" s="215"/>
      <c r="G612" s="296"/>
      <c r="H612" s="296"/>
      <c r="I612" s="296"/>
      <c r="J612" s="28"/>
      <c r="K612" s="488"/>
      <c r="L612" s="468"/>
      <c r="M612" s="296"/>
      <c r="N612" s="296"/>
    </row>
    <row r="613" spans="1:14" s="20" customFormat="1" ht="30">
      <c r="A613" s="238" t="s">
        <v>871</v>
      </c>
      <c r="B613" s="231" t="s">
        <v>110</v>
      </c>
      <c r="C613" s="32" t="s">
        <v>46</v>
      </c>
      <c r="D613" s="77">
        <v>21010101</v>
      </c>
      <c r="E613" s="135" t="s">
        <v>725</v>
      </c>
      <c r="F613" s="136">
        <v>101316060</v>
      </c>
      <c r="G613" s="28">
        <v>101316060</v>
      </c>
      <c r="H613" s="28"/>
      <c r="I613" s="28"/>
      <c r="J613" s="28">
        <v>101316060</v>
      </c>
      <c r="K613" s="488"/>
      <c r="L613" s="467">
        <v>101316060</v>
      </c>
      <c r="M613" s="28">
        <f>G613*10%+G613</f>
        <v>111447666</v>
      </c>
      <c r="N613" s="28">
        <f>M613*10%+M613</f>
        <v>122592432.59999999</v>
      </c>
    </row>
    <row r="614" spans="1:14" s="20" customFormat="1">
      <c r="A614" s="238"/>
      <c r="B614" s="231"/>
      <c r="C614" s="30" t="s">
        <v>1842</v>
      </c>
      <c r="D614" s="23"/>
      <c r="E614" s="25"/>
      <c r="F614" s="137">
        <f>SUM(F613)</f>
        <v>101316060</v>
      </c>
      <c r="G614" s="114">
        <f>SUM(G613)</f>
        <v>101316060</v>
      </c>
      <c r="H614" s="114">
        <f t="shared" ref="H614:I614" si="125">SUM(H613)</f>
        <v>0</v>
      </c>
      <c r="I614" s="114">
        <f t="shared" si="125"/>
        <v>0</v>
      </c>
      <c r="J614" s="114">
        <f>SUM(J613)</f>
        <v>101316060</v>
      </c>
      <c r="K614" s="490"/>
      <c r="L614" s="468">
        <f>SUM(L613)</f>
        <v>101316060</v>
      </c>
      <c r="M614" s="114">
        <f>SUM(M613)</f>
        <v>111447666</v>
      </c>
      <c r="N614" s="114">
        <f>SUM(N613)</f>
        <v>122592432.59999999</v>
      </c>
    </row>
    <row r="615" spans="1:14" s="20" customFormat="1">
      <c r="A615" s="253"/>
      <c r="B615" s="231"/>
      <c r="C615" s="32" t="s">
        <v>47</v>
      </c>
      <c r="D615" s="77">
        <v>22020105</v>
      </c>
      <c r="E615" s="135" t="s">
        <v>1733</v>
      </c>
      <c r="F615" s="136">
        <v>407000</v>
      </c>
      <c r="G615" s="28">
        <v>407000</v>
      </c>
      <c r="H615" s="28"/>
      <c r="I615" s="28"/>
      <c r="J615" s="28">
        <v>407000</v>
      </c>
      <c r="K615" s="488">
        <f>J615*4.38%</f>
        <v>17826.599999999999</v>
      </c>
      <c r="L615" s="469">
        <v>389173.4</v>
      </c>
      <c r="M615" s="28">
        <v>407000</v>
      </c>
      <c r="N615" s="28">
        <v>407000</v>
      </c>
    </row>
    <row r="616" spans="1:14" s="20" customFormat="1">
      <c r="A616" s="253"/>
      <c r="B616" s="231"/>
      <c r="C616" s="32" t="s">
        <v>47</v>
      </c>
      <c r="D616" s="77">
        <v>22020203</v>
      </c>
      <c r="E616" s="135" t="s">
        <v>779</v>
      </c>
      <c r="F616" s="136">
        <v>150000</v>
      </c>
      <c r="G616" s="28">
        <v>150000</v>
      </c>
      <c r="H616" s="28"/>
      <c r="I616" s="28"/>
      <c r="J616" s="28">
        <v>150000</v>
      </c>
      <c r="K616" s="488">
        <f t="shared" ref="K616:K632" si="126">J616*4.38%</f>
        <v>6570</v>
      </c>
      <c r="L616" s="469">
        <v>143430</v>
      </c>
      <c r="M616" s="28">
        <v>150000</v>
      </c>
      <c r="N616" s="28">
        <v>150000</v>
      </c>
    </row>
    <row r="617" spans="1:14" s="20" customFormat="1">
      <c r="A617" s="253"/>
      <c r="B617" s="231"/>
      <c r="C617" s="32" t="s">
        <v>47</v>
      </c>
      <c r="D617" s="77">
        <v>22020209</v>
      </c>
      <c r="E617" s="135" t="s">
        <v>750</v>
      </c>
      <c r="F617" s="136">
        <v>15000</v>
      </c>
      <c r="G617" s="28">
        <v>15000</v>
      </c>
      <c r="H617" s="28"/>
      <c r="I617" s="28"/>
      <c r="J617" s="28">
        <v>15000</v>
      </c>
      <c r="K617" s="488">
        <f t="shared" si="126"/>
        <v>657</v>
      </c>
      <c r="L617" s="469">
        <v>14343</v>
      </c>
      <c r="M617" s="28">
        <v>15000</v>
      </c>
      <c r="N617" s="28">
        <v>15000</v>
      </c>
    </row>
    <row r="618" spans="1:14" s="20" customFormat="1">
      <c r="A618" s="253"/>
      <c r="B618" s="231"/>
      <c r="C618" s="32" t="s">
        <v>47</v>
      </c>
      <c r="D618" s="77">
        <v>22020301</v>
      </c>
      <c r="E618" s="135" t="s">
        <v>737</v>
      </c>
      <c r="F618" s="136">
        <v>2840690</v>
      </c>
      <c r="G618" s="28">
        <v>2840690</v>
      </c>
      <c r="H618" s="28"/>
      <c r="I618" s="28"/>
      <c r="J618" s="28">
        <v>2840690</v>
      </c>
      <c r="K618" s="488">
        <f t="shared" si="126"/>
        <v>124422.22199999999</v>
      </c>
      <c r="L618" s="469">
        <v>2716267.7779999999</v>
      </c>
      <c r="M618" s="28">
        <v>2840690</v>
      </c>
      <c r="N618" s="28">
        <v>2840690</v>
      </c>
    </row>
    <row r="619" spans="1:14" s="20" customFormat="1">
      <c r="A619" s="253"/>
      <c r="B619" s="231"/>
      <c r="C619" s="32" t="s">
        <v>47</v>
      </c>
      <c r="D619" s="77">
        <v>22020302</v>
      </c>
      <c r="E619" s="135" t="s">
        <v>872</v>
      </c>
      <c r="F619" s="136">
        <v>550000</v>
      </c>
      <c r="G619" s="28">
        <v>550000</v>
      </c>
      <c r="H619" s="28"/>
      <c r="I619" s="28"/>
      <c r="J619" s="28">
        <v>550000</v>
      </c>
      <c r="K619" s="488">
        <f t="shared" si="126"/>
        <v>24090</v>
      </c>
      <c r="L619" s="469">
        <v>525910</v>
      </c>
      <c r="M619" s="28">
        <v>550000</v>
      </c>
      <c r="N619" s="28">
        <v>550000</v>
      </c>
    </row>
    <row r="620" spans="1:14" s="20" customFormat="1">
      <c r="A620" s="253"/>
      <c r="B620" s="231"/>
      <c r="C620" s="32" t="s">
        <v>47</v>
      </c>
      <c r="D620" s="77">
        <v>22020303</v>
      </c>
      <c r="E620" s="135" t="s">
        <v>738</v>
      </c>
      <c r="F620" s="136">
        <v>182500</v>
      </c>
      <c r="G620" s="28">
        <v>182500</v>
      </c>
      <c r="H620" s="28"/>
      <c r="I620" s="28"/>
      <c r="J620" s="28">
        <v>182500</v>
      </c>
      <c r="K620" s="488">
        <f t="shared" si="126"/>
        <v>7993.5</v>
      </c>
      <c r="L620" s="469">
        <v>174506.5</v>
      </c>
      <c r="M620" s="28">
        <v>182500</v>
      </c>
      <c r="N620" s="28">
        <v>182500</v>
      </c>
    </row>
    <row r="621" spans="1:14" s="20" customFormat="1">
      <c r="A621" s="253"/>
      <c r="B621" s="231"/>
      <c r="C621" s="32" t="s">
        <v>47</v>
      </c>
      <c r="D621" s="77">
        <v>22020305</v>
      </c>
      <c r="E621" s="135" t="s">
        <v>755</v>
      </c>
      <c r="F621" s="136">
        <v>1660050</v>
      </c>
      <c r="G621" s="28">
        <v>1660050</v>
      </c>
      <c r="H621" s="28"/>
      <c r="I621" s="28"/>
      <c r="J621" s="28">
        <v>1660050</v>
      </c>
      <c r="K621" s="488">
        <f t="shared" si="126"/>
        <v>72710.19</v>
      </c>
      <c r="L621" s="469">
        <v>1587339.81</v>
      </c>
      <c r="M621" s="28">
        <v>1660050</v>
      </c>
      <c r="N621" s="28">
        <v>1660050</v>
      </c>
    </row>
    <row r="622" spans="1:14" s="20" customFormat="1">
      <c r="A622" s="253"/>
      <c r="B622" s="231"/>
      <c r="C622" s="32" t="s">
        <v>47</v>
      </c>
      <c r="D622" s="77">
        <v>22020306</v>
      </c>
      <c r="E622" s="135" t="s">
        <v>765</v>
      </c>
      <c r="F622" s="136">
        <v>660000</v>
      </c>
      <c r="G622" s="28">
        <v>660000</v>
      </c>
      <c r="H622" s="28"/>
      <c r="I622" s="28"/>
      <c r="J622" s="28">
        <v>660000</v>
      </c>
      <c r="K622" s="488">
        <f t="shared" si="126"/>
        <v>28908</v>
      </c>
      <c r="L622" s="469">
        <v>631092</v>
      </c>
      <c r="M622" s="28">
        <v>660000</v>
      </c>
      <c r="N622" s="28">
        <v>660000</v>
      </c>
    </row>
    <row r="623" spans="1:14" s="20" customFormat="1">
      <c r="A623" s="253"/>
      <c r="B623" s="231"/>
      <c r="C623" s="32" t="s">
        <v>47</v>
      </c>
      <c r="D623" s="77">
        <v>22020307</v>
      </c>
      <c r="E623" s="135" t="s">
        <v>822</v>
      </c>
      <c r="F623" s="136">
        <v>420000</v>
      </c>
      <c r="G623" s="28">
        <v>420000</v>
      </c>
      <c r="H623" s="28"/>
      <c r="I623" s="28"/>
      <c r="J623" s="28">
        <v>420000</v>
      </c>
      <c r="K623" s="488">
        <f t="shared" si="126"/>
        <v>18396</v>
      </c>
      <c r="L623" s="469">
        <v>401604</v>
      </c>
      <c r="M623" s="28">
        <v>420000</v>
      </c>
      <c r="N623" s="28">
        <v>420000</v>
      </c>
    </row>
    <row r="624" spans="1:14" s="20" customFormat="1">
      <c r="A624" s="253"/>
      <c r="B624" s="231"/>
      <c r="C624" s="32" t="s">
        <v>47</v>
      </c>
      <c r="D624" s="77">
        <v>22020309</v>
      </c>
      <c r="E624" s="135" t="s">
        <v>739</v>
      </c>
      <c r="F624" s="136">
        <v>4200000</v>
      </c>
      <c r="G624" s="28">
        <v>4200000</v>
      </c>
      <c r="H624" s="28"/>
      <c r="I624" s="28"/>
      <c r="J624" s="28">
        <v>4200000</v>
      </c>
      <c r="K624" s="488">
        <f t="shared" si="126"/>
        <v>183960</v>
      </c>
      <c r="L624" s="469">
        <v>4016040</v>
      </c>
      <c r="M624" s="28">
        <v>4200000</v>
      </c>
      <c r="N624" s="28">
        <v>4200000</v>
      </c>
    </row>
    <row r="625" spans="1:14" s="20" customFormat="1">
      <c r="A625" s="253"/>
      <c r="B625" s="231"/>
      <c r="C625" s="32" t="s">
        <v>47</v>
      </c>
      <c r="D625" s="77">
        <v>22020403</v>
      </c>
      <c r="E625" s="135" t="s">
        <v>781</v>
      </c>
      <c r="F625" s="136">
        <v>2470250</v>
      </c>
      <c r="G625" s="28">
        <v>2470250</v>
      </c>
      <c r="H625" s="28"/>
      <c r="I625" s="28"/>
      <c r="J625" s="28">
        <v>2470250</v>
      </c>
      <c r="K625" s="488">
        <f t="shared" si="126"/>
        <v>108196.95</v>
      </c>
      <c r="L625" s="469">
        <v>2362053.0500000003</v>
      </c>
      <c r="M625" s="28">
        <v>2470250</v>
      </c>
      <c r="N625" s="28">
        <v>2470250</v>
      </c>
    </row>
    <row r="626" spans="1:14" s="20" customFormat="1">
      <c r="A626" s="253"/>
      <c r="B626" s="231"/>
      <c r="C626" s="32" t="s">
        <v>47</v>
      </c>
      <c r="D626" s="77">
        <v>22020405</v>
      </c>
      <c r="E626" s="135" t="s">
        <v>743</v>
      </c>
      <c r="F626" s="136">
        <v>648000</v>
      </c>
      <c r="G626" s="28">
        <v>648000</v>
      </c>
      <c r="H626" s="28"/>
      <c r="I626" s="28"/>
      <c r="J626" s="28">
        <v>648000</v>
      </c>
      <c r="K626" s="488">
        <f t="shared" si="126"/>
        <v>28382.399999999998</v>
      </c>
      <c r="L626" s="469">
        <v>619617.6</v>
      </c>
      <c r="M626" s="28">
        <v>648000</v>
      </c>
      <c r="N626" s="28">
        <v>648000</v>
      </c>
    </row>
    <row r="627" spans="1:14" s="20" customFormat="1">
      <c r="A627" s="253"/>
      <c r="B627" s="231"/>
      <c r="C627" s="32" t="s">
        <v>47</v>
      </c>
      <c r="D627" s="77">
        <v>22020406</v>
      </c>
      <c r="E627" s="135" t="s">
        <v>758</v>
      </c>
      <c r="F627" s="136">
        <v>160000</v>
      </c>
      <c r="G627" s="28">
        <v>160000</v>
      </c>
      <c r="H627" s="28"/>
      <c r="I627" s="28"/>
      <c r="J627" s="28">
        <v>160000</v>
      </c>
      <c r="K627" s="488">
        <f t="shared" si="126"/>
        <v>7008</v>
      </c>
      <c r="L627" s="469">
        <v>152992</v>
      </c>
      <c r="M627" s="28">
        <v>160000</v>
      </c>
      <c r="N627" s="28">
        <v>160000</v>
      </c>
    </row>
    <row r="628" spans="1:14" s="20" customFormat="1">
      <c r="A628" s="253"/>
      <c r="B628" s="231"/>
      <c r="C628" s="32" t="s">
        <v>47</v>
      </c>
      <c r="D628" s="77">
        <v>22020605</v>
      </c>
      <c r="E628" s="135" t="s">
        <v>768</v>
      </c>
      <c r="F628" s="136">
        <v>1218000</v>
      </c>
      <c r="G628" s="28">
        <v>1218000</v>
      </c>
      <c r="H628" s="28"/>
      <c r="I628" s="28"/>
      <c r="J628" s="28">
        <v>1218000</v>
      </c>
      <c r="K628" s="488">
        <f t="shared" si="126"/>
        <v>53348.4</v>
      </c>
      <c r="L628" s="469">
        <v>1164651.6000000001</v>
      </c>
      <c r="M628" s="28">
        <v>1218000</v>
      </c>
      <c r="N628" s="28">
        <v>1218000</v>
      </c>
    </row>
    <row r="629" spans="1:14" s="20" customFormat="1">
      <c r="A629" s="253"/>
      <c r="B629" s="231"/>
      <c r="C629" s="32" t="s">
        <v>47</v>
      </c>
      <c r="D629" s="77">
        <v>22020803</v>
      </c>
      <c r="E629" s="135" t="s">
        <v>748</v>
      </c>
      <c r="F629" s="136">
        <f>2541000+24000</f>
        <v>2565000</v>
      </c>
      <c r="G629" s="28">
        <f>2541000+24000</f>
        <v>2565000</v>
      </c>
      <c r="H629" s="28"/>
      <c r="I629" s="28"/>
      <c r="J629" s="28">
        <v>2565000</v>
      </c>
      <c r="K629" s="488">
        <f t="shared" si="126"/>
        <v>112347</v>
      </c>
      <c r="L629" s="469">
        <v>2452653</v>
      </c>
      <c r="M629" s="28">
        <v>2541000</v>
      </c>
      <c r="N629" s="28">
        <v>2541000</v>
      </c>
    </row>
    <row r="630" spans="1:14" s="20" customFormat="1">
      <c r="A630" s="253"/>
      <c r="B630" s="231"/>
      <c r="C630" s="32" t="s">
        <v>47</v>
      </c>
      <c r="D630" s="77">
        <v>22021001</v>
      </c>
      <c r="E630" s="135" t="s">
        <v>772</v>
      </c>
      <c r="F630" s="136">
        <v>797500</v>
      </c>
      <c r="G630" s="28">
        <v>797500</v>
      </c>
      <c r="H630" s="28"/>
      <c r="I630" s="28"/>
      <c r="J630" s="28">
        <v>797500</v>
      </c>
      <c r="K630" s="488">
        <f t="shared" si="126"/>
        <v>34930.5</v>
      </c>
      <c r="L630" s="469">
        <v>762569.5</v>
      </c>
      <c r="M630" s="28">
        <v>797500</v>
      </c>
      <c r="N630" s="28">
        <v>797500</v>
      </c>
    </row>
    <row r="631" spans="1:14" s="20" customFormat="1">
      <c r="A631" s="253"/>
      <c r="B631" s="231"/>
      <c r="C631" s="32" t="s">
        <v>47</v>
      </c>
      <c r="D631" s="77">
        <v>22021003</v>
      </c>
      <c r="E631" s="135" t="s">
        <v>760</v>
      </c>
      <c r="F631" s="136">
        <v>429000</v>
      </c>
      <c r="G631" s="28">
        <v>429000</v>
      </c>
      <c r="H631" s="28"/>
      <c r="I631" s="28"/>
      <c r="J631" s="28">
        <v>429000</v>
      </c>
      <c r="K631" s="488">
        <f t="shared" si="126"/>
        <v>18790.2</v>
      </c>
      <c r="L631" s="469">
        <v>410209.80000000005</v>
      </c>
      <c r="M631" s="28">
        <v>429000</v>
      </c>
      <c r="N631" s="28">
        <v>399000</v>
      </c>
    </row>
    <row r="632" spans="1:14" s="20" customFormat="1">
      <c r="A632" s="253"/>
      <c r="B632" s="231"/>
      <c r="C632" s="32" t="s">
        <v>47</v>
      </c>
      <c r="D632" s="77">
        <v>22021009</v>
      </c>
      <c r="E632" s="135" t="s">
        <v>873</v>
      </c>
      <c r="F632" s="136">
        <v>1087000</v>
      </c>
      <c r="G632" s="28">
        <v>1087000</v>
      </c>
      <c r="H632" s="28"/>
      <c r="I632" s="28"/>
      <c r="J632" s="28">
        <v>1087000</v>
      </c>
      <c r="K632" s="488">
        <f t="shared" si="126"/>
        <v>47610.6</v>
      </c>
      <c r="L632" s="469">
        <v>1039389.4</v>
      </c>
      <c r="M632" s="28">
        <v>1087000</v>
      </c>
      <c r="N632" s="28">
        <v>1087000</v>
      </c>
    </row>
    <row r="633" spans="1:14" s="20" customFormat="1">
      <c r="A633" s="238"/>
      <c r="B633" s="231"/>
      <c r="C633" s="30" t="s">
        <v>1837</v>
      </c>
      <c r="D633" s="23"/>
      <c r="E633" s="25"/>
      <c r="F633" s="137">
        <f>SUM(F615:F632)</f>
        <v>20459990</v>
      </c>
      <c r="G633" s="114">
        <f>SUM(G615:G632)</f>
        <v>20459990</v>
      </c>
      <c r="H633" s="114">
        <f t="shared" ref="H633:I633" si="127">SUM(H615:H632)</f>
        <v>0</v>
      </c>
      <c r="I633" s="114">
        <f t="shared" si="127"/>
        <v>0</v>
      </c>
      <c r="J633" s="114">
        <f>SUM(J615:J632)</f>
        <v>20459990</v>
      </c>
      <c r="K633" s="490">
        <f>SUM(K615:K632)</f>
        <v>896147.56199999992</v>
      </c>
      <c r="L633" s="468">
        <f>SUM(L615:L632)</f>
        <v>19563842.437999997</v>
      </c>
      <c r="M633" s="114">
        <f>SUM(M615:M632)</f>
        <v>20435990</v>
      </c>
      <c r="N633" s="114">
        <f>SUM(N615:N632)</f>
        <v>20405990</v>
      </c>
    </row>
    <row r="634" spans="1:14" s="66" customFormat="1" ht="30">
      <c r="A634" s="238" t="s">
        <v>871</v>
      </c>
      <c r="B634" s="231" t="s">
        <v>1863</v>
      </c>
      <c r="C634" s="30"/>
      <c r="D634" s="23"/>
      <c r="E634" s="25"/>
      <c r="F634" s="137">
        <f>F633+F614</f>
        <v>121776050</v>
      </c>
      <c r="G634" s="114">
        <f>G633+G614</f>
        <v>121776050</v>
      </c>
      <c r="H634" s="114">
        <f t="shared" ref="H634:I634" si="128">H633+H614</f>
        <v>0</v>
      </c>
      <c r="I634" s="114">
        <f t="shared" si="128"/>
        <v>0</v>
      </c>
      <c r="J634" s="114">
        <f>J633+J614</f>
        <v>121776050</v>
      </c>
      <c r="K634" s="490"/>
      <c r="L634" s="468">
        <f>L633+L614</f>
        <v>120879902.43799999</v>
      </c>
      <c r="M634" s="114">
        <f>M633+M614</f>
        <v>131883656</v>
      </c>
      <c r="N634" s="114">
        <f>N633+N614</f>
        <v>142998422.59999999</v>
      </c>
    </row>
    <row r="635" spans="1:14" s="20" customFormat="1" ht="21">
      <c r="A635" s="252"/>
      <c r="B635" s="443"/>
      <c r="C635" s="228"/>
      <c r="D635" s="229"/>
      <c r="E635" s="230"/>
      <c r="F635" s="215"/>
      <c r="G635" s="296"/>
      <c r="H635" s="296"/>
      <c r="I635" s="296"/>
      <c r="J635" s="28"/>
      <c r="K635" s="488"/>
      <c r="L635" s="468"/>
      <c r="M635" s="296"/>
      <c r="N635" s="296"/>
    </row>
    <row r="636" spans="1:14" s="20" customFormat="1" ht="15.75">
      <c r="A636" s="238" t="s">
        <v>875</v>
      </c>
      <c r="B636" s="231" t="s">
        <v>874</v>
      </c>
      <c r="C636" s="32" t="s">
        <v>46</v>
      </c>
      <c r="D636" s="77">
        <v>21010101</v>
      </c>
      <c r="E636" s="135" t="s">
        <v>725</v>
      </c>
      <c r="F636" s="218">
        <v>56561876</v>
      </c>
      <c r="G636" s="402">
        <v>52453724</v>
      </c>
      <c r="H636" s="402">
        <f>56561876-G636</f>
        <v>4108152</v>
      </c>
      <c r="I636" s="402"/>
      <c r="J636" s="28">
        <v>56561876</v>
      </c>
      <c r="K636" s="488"/>
      <c r="L636" s="467">
        <v>56561876</v>
      </c>
      <c r="M636" s="402">
        <f t="shared" ref="M636:M645" si="129">G636*10%+G636</f>
        <v>57699096.399999999</v>
      </c>
      <c r="N636" s="402">
        <f>M636*10%+M636</f>
        <v>63469006.039999999</v>
      </c>
    </row>
    <row r="637" spans="1:14" s="20" customFormat="1" ht="15.75">
      <c r="A637" s="253"/>
      <c r="B637" s="231"/>
      <c r="C637" s="32" t="s">
        <v>46</v>
      </c>
      <c r="D637" s="77">
        <v>21020101</v>
      </c>
      <c r="E637" s="135" t="s">
        <v>726</v>
      </c>
      <c r="F637" s="218">
        <v>13962948</v>
      </c>
      <c r="G637" s="402">
        <v>13962948</v>
      </c>
      <c r="H637" s="402"/>
      <c r="I637" s="402"/>
      <c r="J637" s="28">
        <v>13962948</v>
      </c>
      <c r="K637" s="488"/>
      <c r="L637" s="467">
        <v>13962948</v>
      </c>
      <c r="M637" s="402">
        <f t="shared" si="129"/>
        <v>15359242.800000001</v>
      </c>
      <c r="N637" s="402">
        <f t="shared" ref="N637:N646" si="130">M637*10%+M637</f>
        <v>16895167.080000002</v>
      </c>
    </row>
    <row r="638" spans="1:14" s="20" customFormat="1" ht="15.75">
      <c r="A638" s="253"/>
      <c r="B638" s="231"/>
      <c r="C638" s="32" t="s">
        <v>46</v>
      </c>
      <c r="D638" s="77">
        <v>21020102</v>
      </c>
      <c r="E638" s="135" t="s">
        <v>1727</v>
      </c>
      <c r="F638" s="218">
        <v>5585364</v>
      </c>
      <c r="G638" s="402">
        <v>5585364</v>
      </c>
      <c r="H638" s="402"/>
      <c r="I638" s="402"/>
      <c r="J638" s="28">
        <v>5585364</v>
      </c>
      <c r="K638" s="488"/>
      <c r="L638" s="467">
        <v>5585364</v>
      </c>
      <c r="M638" s="402">
        <f t="shared" si="129"/>
        <v>6143900.4000000004</v>
      </c>
      <c r="N638" s="402">
        <f t="shared" si="130"/>
        <v>6758290.4400000004</v>
      </c>
    </row>
    <row r="639" spans="1:14" s="20" customFormat="1" ht="15.75">
      <c r="A639" s="253"/>
      <c r="B639" s="231"/>
      <c r="C639" s="32" t="s">
        <v>46</v>
      </c>
      <c r="D639" s="77">
        <v>21020103</v>
      </c>
      <c r="E639" s="135" t="s">
        <v>728</v>
      </c>
      <c r="F639" s="218">
        <v>2792616</v>
      </c>
      <c r="G639" s="402">
        <v>2792616</v>
      </c>
      <c r="H639" s="402"/>
      <c r="I639" s="402"/>
      <c r="J639" s="28">
        <v>2792616</v>
      </c>
      <c r="K639" s="488"/>
      <c r="L639" s="467">
        <v>2792616</v>
      </c>
      <c r="M639" s="402">
        <f t="shared" si="129"/>
        <v>3071877.6</v>
      </c>
      <c r="N639" s="402">
        <f t="shared" si="130"/>
        <v>3379065.3600000003</v>
      </c>
    </row>
    <row r="640" spans="1:14" s="20" customFormat="1" ht="15.75">
      <c r="A640" s="253"/>
      <c r="B640" s="231"/>
      <c r="C640" s="32" t="s">
        <v>46</v>
      </c>
      <c r="D640" s="77">
        <v>21020104</v>
      </c>
      <c r="E640" s="135" t="s">
        <v>729</v>
      </c>
      <c r="F640" s="218">
        <v>3166980</v>
      </c>
      <c r="G640" s="402">
        <v>2792616</v>
      </c>
      <c r="H640" s="402">
        <f>3166980-G640</f>
        <v>374364</v>
      </c>
      <c r="I640" s="402"/>
      <c r="J640" s="28">
        <v>3166980</v>
      </c>
      <c r="K640" s="488"/>
      <c r="L640" s="467">
        <v>3166980</v>
      </c>
      <c r="M640" s="402">
        <f t="shared" si="129"/>
        <v>3071877.6</v>
      </c>
      <c r="N640" s="402">
        <f t="shared" si="130"/>
        <v>3379065.3600000003</v>
      </c>
    </row>
    <row r="641" spans="1:14" s="20" customFormat="1" ht="15.75">
      <c r="A641" s="253"/>
      <c r="B641" s="231"/>
      <c r="C641" s="32" t="s">
        <v>46</v>
      </c>
      <c r="D641" s="77">
        <v>21020105</v>
      </c>
      <c r="E641" s="135" t="s">
        <v>730</v>
      </c>
      <c r="F641" s="218">
        <v>691476</v>
      </c>
      <c r="G641" s="402">
        <v>0</v>
      </c>
      <c r="H641" s="402">
        <v>691476</v>
      </c>
      <c r="I641" s="402"/>
      <c r="J641" s="28">
        <v>691476</v>
      </c>
      <c r="K641" s="488"/>
      <c r="L641" s="467">
        <v>691476</v>
      </c>
      <c r="M641" s="402">
        <f t="shared" si="129"/>
        <v>0</v>
      </c>
      <c r="N641" s="402">
        <f t="shared" si="130"/>
        <v>0</v>
      </c>
    </row>
    <row r="642" spans="1:14" s="20" customFormat="1" ht="15.75">
      <c r="A642" s="253"/>
      <c r="B642" s="231"/>
      <c r="C642" s="32" t="s">
        <v>46</v>
      </c>
      <c r="D642" s="403">
        <v>21020141</v>
      </c>
      <c r="E642" s="404" t="s">
        <v>970</v>
      </c>
      <c r="F642" s="218">
        <v>243000</v>
      </c>
      <c r="G642" s="402">
        <v>243000</v>
      </c>
      <c r="H642" s="402"/>
      <c r="I642" s="402"/>
      <c r="J642" s="28">
        <v>243000</v>
      </c>
      <c r="K642" s="488"/>
      <c r="L642" s="467">
        <v>243000</v>
      </c>
      <c r="M642" s="402">
        <f t="shared" si="129"/>
        <v>267300</v>
      </c>
      <c r="N642" s="402">
        <f t="shared" si="130"/>
        <v>294030</v>
      </c>
    </row>
    <row r="643" spans="1:14" s="20" customFormat="1" ht="15.75">
      <c r="A643" s="253"/>
      <c r="B643" s="231"/>
      <c r="C643" s="32" t="s">
        <v>46</v>
      </c>
      <c r="D643" s="403">
        <v>21020124</v>
      </c>
      <c r="E643" s="404" t="s">
        <v>876</v>
      </c>
      <c r="F643" s="218">
        <v>11173524</v>
      </c>
      <c r="G643" s="402">
        <v>11173524</v>
      </c>
      <c r="H643" s="402"/>
      <c r="I643" s="402"/>
      <c r="J643" s="28">
        <v>11173524</v>
      </c>
      <c r="K643" s="488"/>
      <c r="L643" s="467">
        <v>11173524</v>
      </c>
      <c r="M643" s="402">
        <f t="shared" si="129"/>
        <v>12290876.4</v>
      </c>
      <c r="N643" s="402">
        <f t="shared" si="130"/>
        <v>13519964.040000001</v>
      </c>
    </row>
    <row r="644" spans="1:14" s="20" customFormat="1" ht="15.75">
      <c r="A644" s="253"/>
      <c r="B644" s="231"/>
      <c r="C644" s="32" t="s">
        <v>46</v>
      </c>
      <c r="D644" s="77">
        <v>21020106</v>
      </c>
      <c r="E644" s="135" t="s">
        <v>731</v>
      </c>
      <c r="F644" s="218">
        <v>5656188</v>
      </c>
      <c r="G644" s="402">
        <v>5245372</v>
      </c>
      <c r="H644" s="402">
        <f>5656188-G644</f>
        <v>410816</v>
      </c>
      <c r="I644" s="402"/>
      <c r="J644" s="28">
        <v>5656188</v>
      </c>
      <c r="K644" s="488"/>
      <c r="L644" s="467">
        <v>5656188</v>
      </c>
      <c r="M644" s="402">
        <f t="shared" si="129"/>
        <v>5769909.2000000002</v>
      </c>
      <c r="N644" s="402">
        <f t="shared" si="130"/>
        <v>6346900.1200000001</v>
      </c>
    </row>
    <row r="645" spans="1:14" s="20" customFormat="1" ht="15.75">
      <c r="A645" s="253"/>
      <c r="B645" s="231"/>
      <c r="C645" s="32" t="s">
        <v>46</v>
      </c>
      <c r="D645" s="77">
        <v>21020107</v>
      </c>
      <c r="E645" s="404" t="s">
        <v>732</v>
      </c>
      <c r="F645" s="218">
        <v>6048000</v>
      </c>
      <c r="G645" s="402">
        <v>6048000</v>
      </c>
      <c r="H645" s="402"/>
      <c r="I645" s="402"/>
      <c r="J645" s="28">
        <v>6048000</v>
      </c>
      <c r="K645" s="488"/>
      <c r="L645" s="467">
        <v>6048000</v>
      </c>
      <c r="M645" s="402">
        <f t="shared" si="129"/>
        <v>6652800</v>
      </c>
      <c r="N645" s="402">
        <f t="shared" si="130"/>
        <v>7318080</v>
      </c>
    </row>
    <row r="646" spans="1:14" s="66" customFormat="1">
      <c r="A646" s="238"/>
      <c r="B646" s="231"/>
      <c r="C646" s="30" t="s">
        <v>1842</v>
      </c>
      <c r="D646" s="23"/>
      <c r="E646" s="25"/>
      <c r="F646" s="137">
        <f>SUM(F636:F645)</f>
        <v>105881972</v>
      </c>
      <c r="G646" s="114">
        <f>SUM(G636:G645)</f>
        <v>100297164</v>
      </c>
      <c r="H646" s="114">
        <f>SUM(H636:H645)</f>
        <v>5584808</v>
      </c>
      <c r="I646" s="114">
        <f t="shared" ref="I646" si="131">SUM(I636:I645)</f>
        <v>0</v>
      </c>
      <c r="J646" s="114">
        <f>SUM(J636:J645)</f>
        <v>105881972</v>
      </c>
      <c r="K646" s="490"/>
      <c r="L646" s="468">
        <f>SUM(L636:L645)</f>
        <v>105881972</v>
      </c>
      <c r="M646" s="114">
        <f>SUM(M636:M645)</f>
        <v>110326880.40000001</v>
      </c>
      <c r="N646" s="114">
        <f t="shared" si="130"/>
        <v>121359568.44000001</v>
      </c>
    </row>
    <row r="647" spans="1:14" s="20" customFormat="1">
      <c r="A647" s="253"/>
      <c r="B647" s="231"/>
      <c r="C647" s="32" t="s">
        <v>47</v>
      </c>
      <c r="D647" s="77">
        <v>22020105</v>
      </c>
      <c r="E647" s="135" t="s">
        <v>1713</v>
      </c>
      <c r="F647" s="138">
        <v>4512000</v>
      </c>
      <c r="G647" s="297">
        <v>4512000</v>
      </c>
      <c r="H647" s="297"/>
      <c r="I647" s="297"/>
      <c r="J647" s="28">
        <v>4512000</v>
      </c>
      <c r="K647" s="488">
        <f>J647*4.38%</f>
        <v>197625.60000000001</v>
      </c>
      <c r="L647" s="469">
        <v>4314374.4000000004</v>
      </c>
      <c r="M647" s="297">
        <v>4512000</v>
      </c>
      <c r="N647" s="297">
        <v>4512000</v>
      </c>
    </row>
    <row r="648" spans="1:14" s="20" customFormat="1">
      <c r="A648" s="253"/>
      <c r="B648" s="231"/>
      <c r="C648" s="32" t="s">
        <v>47</v>
      </c>
      <c r="D648" s="77">
        <v>22020301</v>
      </c>
      <c r="E648" s="135" t="s">
        <v>737</v>
      </c>
      <c r="F648" s="138">
        <v>2233000</v>
      </c>
      <c r="G648" s="297">
        <v>2233000</v>
      </c>
      <c r="H648" s="297"/>
      <c r="I648" s="297"/>
      <c r="J648" s="28">
        <v>2233000</v>
      </c>
      <c r="K648" s="488">
        <f t="shared" ref="K648:K660" si="132">J648*4.38%</f>
        <v>97805.4</v>
      </c>
      <c r="L648" s="469">
        <v>2135194.6</v>
      </c>
      <c r="M648" s="297">
        <v>2233000</v>
      </c>
      <c r="N648" s="297">
        <v>2233000</v>
      </c>
    </row>
    <row r="649" spans="1:14" s="20" customFormat="1">
      <c r="A649" s="253"/>
      <c r="B649" s="231"/>
      <c r="C649" s="32" t="s">
        <v>47</v>
      </c>
      <c r="D649" s="77">
        <v>22020305</v>
      </c>
      <c r="E649" s="135" t="s">
        <v>755</v>
      </c>
      <c r="F649" s="138">
        <v>3500000</v>
      </c>
      <c r="G649" s="297">
        <v>3500000</v>
      </c>
      <c r="H649" s="297"/>
      <c r="I649" s="297"/>
      <c r="J649" s="28">
        <v>3500000</v>
      </c>
      <c r="K649" s="488">
        <f t="shared" si="132"/>
        <v>153300</v>
      </c>
      <c r="L649" s="469">
        <v>3346700</v>
      </c>
      <c r="M649" s="297">
        <v>4250000</v>
      </c>
      <c r="N649" s="297">
        <v>4250000</v>
      </c>
    </row>
    <row r="650" spans="1:14" s="20" customFormat="1">
      <c r="A650" s="253"/>
      <c r="B650" s="231"/>
      <c r="C650" s="32" t="s">
        <v>47</v>
      </c>
      <c r="D650" s="77">
        <v>22020315</v>
      </c>
      <c r="E650" s="135" t="s">
        <v>740</v>
      </c>
      <c r="F650" s="138">
        <v>1200000</v>
      </c>
      <c r="G650" s="297">
        <v>1200000</v>
      </c>
      <c r="H650" s="297"/>
      <c r="I650" s="297"/>
      <c r="J650" s="28">
        <v>1200000</v>
      </c>
      <c r="K650" s="488">
        <f t="shared" si="132"/>
        <v>52560</v>
      </c>
      <c r="L650" s="469">
        <v>1147440</v>
      </c>
      <c r="M650" s="297">
        <v>1436400</v>
      </c>
      <c r="N650" s="297">
        <v>1436400</v>
      </c>
    </row>
    <row r="651" spans="1:14" s="20" customFormat="1">
      <c r="A651" s="253"/>
      <c r="B651" s="231"/>
      <c r="C651" s="32" t="s">
        <v>47</v>
      </c>
      <c r="D651" s="77">
        <v>22020401</v>
      </c>
      <c r="E651" s="135" t="s">
        <v>1728</v>
      </c>
      <c r="F651" s="138">
        <v>2940000</v>
      </c>
      <c r="G651" s="297">
        <v>2940000</v>
      </c>
      <c r="H651" s="297"/>
      <c r="I651" s="297"/>
      <c r="J651" s="28">
        <v>2940000</v>
      </c>
      <c r="K651" s="488">
        <f t="shared" si="132"/>
        <v>128772</v>
      </c>
      <c r="L651" s="469">
        <v>2811228</v>
      </c>
      <c r="M651" s="297">
        <v>2940000</v>
      </c>
      <c r="N651" s="297">
        <v>2940000</v>
      </c>
    </row>
    <row r="652" spans="1:14" s="20" customFormat="1">
      <c r="A652" s="253"/>
      <c r="B652" s="231"/>
      <c r="C652" s="32" t="s">
        <v>47</v>
      </c>
      <c r="D652" s="77">
        <v>22020402</v>
      </c>
      <c r="E652" s="135" t="s">
        <v>757</v>
      </c>
      <c r="F652" s="138">
        <v>851000</v>
      </c>
      <c r="G652" s="297">
        <v>851000</v>
      </c>
      <c r="H652" s="297"/>
      <c r="I652" s="297"/>
      <c r="J652" s="28">
        <v>851000</v>
      </c>
      <c r="K652" s="488">
        <f t="shared" si="132"/>
        <v>37273.799999999996</v>
      </c>
      <c r="L652" s="469">
        <v>813726.20000000007</v>
      </c>
      <c r="M652" s="297">
        <v>851000</v>
      </c>
      <c r="N652" s="297">
        <v>851000</v>
      </c>
    </row>
    <row r="653" spans="1:14" s="20" customFormat="1">
      <c r="A653" s="253"/>
      <c r="B653" s="231"/>
      <c r="C653" s="32" t="s">
        <v>47</v>
      </c>
      <c r="D653" s="77">
        <v>22020414</v>
      </c>
      <c r="E653" s="135" t="s">
        <v>1729</v>
      </c>
      <c r="F653" s="138">
        <v>1820000</v>
      </c>
      <c r="G653" s="297">
        <v>1820000</v>
      </c>
      <c r="H653" s="297"/>
      <c r="I653" s="297"/>
      <c r="J653" s="28">
        <v>1820000</v>
      </c>
      <c r="K653" s="488">
        <f t="shared" si="132"/>
        <v>79716</v>
      </c>
      <c r="L653" s="469">
        <v>1740284</v>
      </c>
      <c r="M653" s="297">
        <v>1820000</v>
      </c>
      <c r="N653" s="297">
        <v>1820000</v>
      </c>
    </row>
    <row r="654" spans="1:14" s="20" customFormat="1">
      <c r="A654" s="253"/>
      <c r="B654" s="231"/>
      <c r="C654" s="32" t="s">
        <v>47</v>
      </c>
      <c r="D654" s="77">
        <v>22020801</v>
      </c>
      <c r="E654" s="135" t="s">
        <v>747</v>
      </c>
      <c r="F654" s="138">
        <v>3480000</v>
      </c>
      <c r="G654" s="297">
        <v>3480000</v>
      </c>
      <c r="H654" s="297"/>
      <c r="I654" s="297"/>
      <c r="J654" s="28">
        <v>3480000</v>
      </c>
      <c r="K654" s="488">
        <f t="shared" si="132"/>
        <v>152424</v>
      </c>
      <c r="L654" s="469">
        <v>3327576</v>
      </c>
      <c r="M654" s="297">
        <v>3480000</v>
      </c>
      <c r="N654" s="297">
        <v>3480000</v>
      </c>
    </row>
    <row r="655" spans="1:14" s="20" customFormat="1">
      <c r="A655" s="253"/>
      <c r="B655" s="231"/>
      <c r="C655" s="32" t="s">
        <v>47</v>
      </c>
      <c r="D655" s="77">
        <v>22020803</v>
      </c>
      <c r="E655" s="135" t="s">
        <v>748</v>
      </c>
      <c r="F655" s="138">
        <v>2792000</v>
      </c>
      <c r="G655" s="297">
        <v>2792000</v>
      </c>
      <c r="H655" s="297"/>
      <c r="I655" s="297"/>
      <c r="J655" s="28">
        <v>2792000</v>
      </c>
      <c r="K655" s="488">
        <f t="shared" si="132"/>
        <v>122289.59999999999</v>
      </c>
      <c r="L655" s="469">
        <v>2669710.4</v>
      </c>
      <c r="M655" s="297">
        <v>2792000</v>
      </c>
      <c r="N655" s="297">
        <v>2792000</v>
      </c>
    </row>
    <row r="656" spans="1:14" s="20" customFormat="1">
      <c r="A656" s="253"/>
      <c r="B656" s="231"/>
      <c r="C656" s="32" t="s">
        <v>47</v>
      </c>
      <c r="D656" s="77">
        <v>22020901</v>
      </c>
      <c r="E656" s="135" t="s">
        <v>749</v>
      </c>
      <c r="F656" s="138">
        <v>50000</v>
      </c>
      <c r="G656" s="297">
        <v>5000</v>
      </c>
      <c r="H656" s="297">
        <v>50000</v>
      </c>
      <c r="I656" s="297"/>
      <c r="J656" s="28">
        <v>55000</v>
      </c>
      <c r="K656" s="488">
        <f t="shared" si="132"/>
        <v>2409</v>
      </c>
      <c r="L656" s="469">
        <v>52591</v>
      </c>
      <c r="M656" s="297">
        <v>50000</v>
      </c>
      <c r="N656" s="297">
        <v>50000</v>
      </c>
    </row>
    <row r="657" spans="1:14" s="20" customFormat="1">
      <c r="A657" s="253"/>
      <c r="B657" s="231"/>
      <c r="C657" s="32" t="s">
        <v>47</v>
      </c>
      <c r="D657" s="77">
        <v>22021001</v>
      </c>
      <c r="E657" s="135" t="s">
        <v>772</v>
      </c>
      <c r="F657" s="138">
        <v>1003400</v>
      </c>
      <c r="G657" s="297">
        <v>1003400</v>
      </c>
      <c r="H657" s="297"/>
      <c r="I657" s="297"/>
      <c r="J657" s="28">
        <v>1003400</v>
      </c>
      <c r="K657" s="488">
        <f t="shared" si="132"/>
        <v>43948.92</v>
      </c>
      <c r="L657" s="469">
        <v>959451.08000000007</v>
      </c>
      <c r="M657" s="297">
        <v>1003400</v>
      </c>
      <c r="N657" s="297">
        <v>1003400</v>
      </c>
    </row>
    <row r="658" spans="1:14" s="20" customFormat="1">
      <c r="A658" s="253"/>
      <c r="B658" s="231"/>
      <c r="C658" s="32" t="s">
        <v>47</v>
      </c>
      <c r="D658" s="77">
        <v>22021008</v>
      </c>
      <c r="E658" s="135" t="s">
        <v>784</v>
      </c>
      <c r="F658" s="138">
        <v>200000</v>
      </c>
      <c r="G658" s="297">
        <v>0</v>
      </c>
      <c r="H658" s="297"/>
      <c r="I658" s="297"/>
      <c r="J658" s="28">
        <v>0</v>
      </c>
      <c r="K658" s="488">
        <f t="shared" si="132"/>
        <v>0</v>
      </c>
      <c r="L658" s="469">
        <v>0</v>
      </c>
      <c r="M658" s="297">
        <v>200000</v>
      </c>
      <c r="N658" s="297">
        <v>200000</v>
      </c>
    </row>
    <row r="659" spans="1:14" s="20" customFormat="1">
      <c r="A659" s="253"/>
      <c r="B659" s="231"/>
      <c r="C659" s="32" t="s">
        <v>47</v>
      </c>
      <c r="D659" s="77">
        <v>22021023</v>
      </c>
      <c r="E659" s="135" t="s">
        <v>761</v>
      </c>
      <c r="F659" s="138">
        <v>500000</v>
      </c>
      <c r="G659" s="297">
        <v>20000</v>
      </c>
      <c r="H659" s="297">
        <v>7500000</v>
      </c>
      <c r="I659" s="297"/>
      <c r="J659" s="28">
        <v>7520000</v>
      </c>
      <c r="K659" s="488">
        <f t="shared" si="132"/>
        <v>329376</v>
      </c>
      <c r="L659" s="469">
        <v>7190624</v>
      </c>
      <c r="M659" s="297">
        <v>7500000</v>
      </c>
      <c r="N659" s="297">
        <v>7500000</v>
      </c>
    </row>
    <row r="660" spans="1:14" s="20" customFormat="1">
      <c r="A660" s="253"/>
      <c r="B660" s="231"/>
      <c r="C660" s="32"/>
      <c r="D660" s="77">
        <v>22020108</v>
      </c>
      <c r="E660" s="135" t="s">
        <v>2608</v>
      </c>
      <c r="F660" s="138"/>
      <c r="G660" s="297"/>
      <c r="H660" s="297">
        <v>814000</v>
      </c>
      <c r="I660" s="297"/>
      <c r="J660" s="28">
        <v>814000</v>
      </c>
      <c r="K660" s="488">
        <f t="shared" si="132"/>
        <v>35653.199999999997</v>
      </c>
      <c r="L660" s="469">
        <v>778346.8</v>
      </c>
      <c r="M660" s="297"/>
      <c r="N660" s="297"/>
    </row>
    <row r="661" spans="1:14" s="20" customFormat="1">
      <c r="A661" s="238"/>
      <c r="B661" s="231"/>
      <c r="C661" s="30" t="s">
        <v>1837</v>
      </c>
      <c r="D661" s="23"/>
      <c r="E661" s="25"/>
      <c r="F661" s="137">
        <f>SUM(F647:F659)</f>
        <v>25081400</v>
      </c>
      <c r="G661" s="114">
        <f>SUM(G647:G660)</f>
        <v>24356400</v>
      </c>
      <c r="H661" s="114">
        <f t="shared" ref="H661:I661" si="133">SUM(H647:H660)</f>
        <v>8364000</v>
      </c>
      <c r="I661" s="114">
        <f t="shared" si="133"/>
        <v>0</v>
      </c>
      <c r="J661" s="114">
        <f>SUM(J647:J660)</f>
        <v>32720400</v>
      </c>
      <c r="K661" s="490">
        <f>SUM(K647:K660)</f>
        <v>1433153.52</v>
      </c>
      <c r="L661" s="468">
        <f>SUM(L647:L660)</f>
        <v>31287246.48</v>
      </c>
      <c r="M661" s="114">
        <f>SUM(M647:M659)</f>
        <v>33067800</v>
      </c>
      <c r="N661" s="114">
        <f>SUM(N647:N659)</f>
        <v>33067800</v>
      </c>
    </row>
    <row r="662" spans="1:14" s="66" customFormat="1" ht="30">
      <c r="A662" s="238" t="s">
        <v>875</v>
      </c>
      <c r="B662" s="231" t="s">
        <v>1864</v>
      </c>
      <c r="C662" s="30"/>
      <c r="D662" s="23"/>
      <c r="E662" s="25"/>
      <c r="F662" s="137">
        <f>F661+F646</f>
        <v>130963372</v>
      </c>
      <c r="G662" s="114">
        <f>G661+G646</f>
        <v>124653564</v>
      </c>
      <c r="H662" s="114">
        <f>H661+H646</f>
        <v>13948808</v>
      </c>
      <c r="I662" s="114">
        <f t="shared" ref="I662" si="134">I661+I646</f>
        <v>0</v>
      </c>
      <c r="J662" s="114">
        <f>J661+J646</f>
        <v>138602372</v>
      </c>
      <c r="K662" s="490"/>
      <c r="L662" s="468">
        <f>L661+L646</f>
        <v>137169218.47999999</v>
      </c>
      <c r="M662" s="114">
        <f>M661+M646</f>
        <v>143394680.40000001</v>
      </c>
      <c r="N662" s="114">
        <f>N661+N646</f>
        <v>154427368.44</v>
      </c>
    </row>
    <row r="663" spans="1:14" s="20" customFormat="1" ht="21">
      <c r="A663" s="252"/>
      <c r="B663" s="443"/>
      <c r="C663" s="228"/>
      <c r="D663" s="229"/>
      <c r="E663" s="230"/>
      <c r="F663" s="215"/>
      <c r="G663" s="296"/>
      <c r="H663" s="296"/>
      <c r="I663" s="296"/>
      <c r="J663" s="28"/>
      <c r="K663" s="488"/>
      <c r="L663" s="468"/>
      <c r="M663" s="296"/>
      <c r="N663" s="296"/>
    </row>
    <row r="664" spans="1:14" s="20" customFormat="1" ht="15" customHeight="1">
      <c r="A664" s="238" t="s">
        <v>879</v>
      </c>
      <c r="B664" s="231" t="s">
        <v>878</v>
      </c>
      <c r="C664" s="32" t="s">
        <v>46</v>
      </c>
      <c r="D664" s="77">
        <v>21010101</v>
      </c>
      <c r="E664" s="135" t="s">
        <v>725</v>
      </c>
      <c r="F664" s="136">
        <v>26668969.68</v>
      </c>
      <c r="G664" s="28">
        <v>26668969.68</v>
      </c>
      <c r="H664" s="28"/>
      <c r="I664" s="28"/>
      <c r="J664" s="28">
        <v>26668969.68</v>
      </c>
      <c r="K664" s="488"/>
      <c r="L664" s="467">
        <v>26668969.68</v>
      </c>
      <c r="M664" s="28">
        <v>28002418.16</v>
      </c>
      <c r="N664" s="28">
        <v>29402539.07</v>
      </c>
    </row>
    <row r="665" spans="1:14" s="20" customFormat="1">
      <c r="A665" s="253"/>
      <c r="B665" s="231"/>
      <c r="C665" s="32" t="s">
        <v>46</v>
      </c>
      <c r="D665" s="77">
        <v>21020101</v>
      </c>
      <c r="E665" s="135" t="s">
        <v>726</v>
      </c>
      <c r="F665" s="136">
        <v>6792013.4400000004</v>
      </c>
      <c r="G665" s="28">
        <v>6792013.4400000004</v>
      </c>
      <c r="H665" s="28"/>
      <c r="I665" s="28"/>
      <c r="J665" s="28">
        <v>6792013.4400000004</v>
      </c>
      <c r="K665" s="488"/>
      <c r="L665" s="467">
        <v>6792013.4400000004</v>
      </c>
      <c r="M665" s="405" t="s">
        <v>880</v>
      </c>
      <c r="N665" s="28">
        <v>7488194.8200000003</v>
      </c>
    </row>
    <row r="666" spans="1:14" s="20" customFormat="1">
      <c r="A666" s="253"/>
      <c r="B666" s="231"/>
      <c r="C666" s="32" t="s">
        <v>46</v>
      </c>
      <c r="D666" s="77">
        <v>21020102</v>
      </c>
      <c r="E666" s="135" t="s">
        <v>1727</v>
      </c>
      <c r="F666" s="136">
        <v>2716805.52</v>
      </c>
      <c r="G666" s="28">
        <v>2716805.52</v>
      </c>
      <c r="H666" s="28"/>
      <c r="I666" s="28"/>
      <c r="J666" s="28">
        <v>2716805.52</v>
      </c>
      <c r="K666" s="488"/>
      <c r="L666" s="467">
        <v>2716805.52</v>
      </c>
      <c r="M666" s="28">
        <v>2852645.8</v>
      </c>
      <c r="N666" s="28">
        <v>2995278.09</v>
      </c>
    </row>
    <row r="667" spans="1:14" s="20" customFormat="1">
      <c r="A667" s="253"/>
      <c r="B667" s="231"/>
      <c r="C667" s="32" t="s">
        <v>46</v>
      </c>
      <c r="D667" s="77">
        <v>21020103</v>
      </c>
      <c r="E667" s="135" t="s">
        <v>728</v>
      </c>
      <c r="F667" s="136">
        <v>1358403.36</v>
      </c>
      <c r="G667" s="28">
        <v>1358403.36</v>
      </c>
      <c r="H667" s="28"/>
      <c r="I667" s="28"/>
      <c r="J667" s="28">
        <v>1358403.36</v>
      </c>
      <c r="K667" s="488"/>
      <c r="L667" s="467">
        <v>1358403.36</v>
      </c>
      <c r="M667" s="28">
        <v>1426323.53</v>
      </c>
      <c r="N667" s="28">
        <v>1497639.09</v>
      </c>
    </row>
    <row r="668" spans="1:14" s="20" customFormat="1">
      <c r="A668" s="253"/>
      <c r="B668" s="231"/>
      <c r="C668" s="32" t="s">
        <v>46</v>
      </c>
      <c r="D668" s="77">
        <v>21020104</v>
      </c>
      <c r="E668" s="135" t="s">
        <v>729</v>
      </c>
      <c r="F668" s="136">
        <v>1358403.36</v>
      </c>
      <c r="G668" s="28">
        <v>1358403.36</v>
      </c>
      <c r="H668" s="28"/>
      <c r="I668" s="28"/>
      <c r="J668" s="28">
        <v>1358403.36</v>
      </c>
      <c r="K668" s="488"/>
      <c r="L668" s="467">
        <v>1358403.36</v>
      </c>
      <c r="M668" s="28">
        <v>1426323.53</v>
      </c>
      <c r="N668" s="28">
        <v>1497639.71</v>
      </c>
    </row>
    <row r="669" spans="1:14" s="20" customFormat="1">
      <c r="A669" s="253"/>
      <c r="B669" s="231"/>
      <c r="C669" s="32" t="s">
        <v>46</v>
      </c>
      <c r="D669" s="77">
        <v>21020105</v>
      </c>
      <c r="E669" s="135" t="s">
        <v>730</v>
      </c>
      <c r="F669" s="136">
        <v>106137.12</v>
      </c>
      <c r="G669" s="28">
        <v>106137.12</v>
      </c>
      <c r="H669" s="28"/>
      <c r="I669" s="28"/>
      <c r="J669" s="28">
        <v>106137.12</v>
      </c>
      <c r="K669" s="488"/>
      <c r="L669" s="467">
        <v>106137.12</v>
      </c>
      <c r="M669" s="28">
        <v>111443.98</v>
      </c>
      <c r="N669" s="28">
        <v>117016.18</v>
      </c>
    </row>
    <row r="670" spans="1:14" s="20" customFormat="1">
      <c r="A670" s="253"/>
      <c r="B670" s="231"/>
      <c r="C670" s="32" t="s">
        <v>46</v>
      </c>
      <c r="D670" s="77">
        <v>21020106</v>
      </c>
      <c r="E670" s="135" t="s">
        <v>731</v>
      </c>
      <c r="F670" s="136">
        <v>2716805.52</v>
      </c>
      <c r="G670" s="28">
        <v>2716805.52</v>
      </c>
      <c r="H670" s="28"/>
      <c r="I670" s="28"/>
      <c r="J670" s="28">
        <v>2716805.52</v>
      </c>
      <c r="K670" s="488"/>
      <c r="L670" s="467">
        <v>2716805.52</v>
      </c>
      <c r="M670" s="28">
        <v>2852645.8</v>
      </c>
      <c r="N670" s="28">
        <v>2995278.09</v>
      </c>
    </row>
    <row r="671" spans="1:14" s="20" customFormat="1" ht="15.75">
      <c r="A671" s="253"/>
      <c r="B671" s="231"/>
      <c r="C671" s="32" t="s">
        <v>46</v>
      </c>
      <c r="D671" s="77">
        <v>21020107</v>
      </c>
      <c r="E671" s="404" t="s">
        <v>732</v>
      </c>
      <c r="F671" s="136">
        <v>1080000</v>
      </c>
      <c r="G671" s="28">
        <v>1080000</v>
      </c>
      <c r="H671" s="28"/>
      <c r="I671" s="28"/>
      <c r="J671" s="28">
        <v>1080000</v>
      </c>
      <c r="K671" s="488"/>
      <c r="L671" s="467">
        <v>1080000</v>
      </c>
      <c r="M671" s="28">
        <v>1134000</v>
      </c>
      <c r="N671" s="28">
        <v>1190700</v>
      </c>
    </row>
    <row r="672" spans="1:14" s="20" customFormat="1">
      <c r="A672" s="253"/>
      <c r="B672" s="231"/>
      <c r="C672" s="32" t="s">
        <v>46</v>
      </c>
      <c r="D672" s="77">
        <v>21020125</v>
      </c>
      <c r="E672" s="135" t="s">
        <v>826</v>
      </c>
      <c r="F672" s="136">
        <v>6531797.4000000004</v>
      </c>
      <c r="G672" s="28">
        <v>6531797.4000000004</v>
      </c>
      <c r="H672" s="28"/>
      <c r="I672" s="28"/>
      <c r="J672" s="28">
        <v>6531797.4000000004</v>
      </c>
      <c r="K672" s="488"/>
      <c r="L672" s="467">
        <v>6531797.4000000004</v>
      </c>
      <c r="M672" s="28">
        <v>6858387.2699999996</v>
      </c>
      <c r="N672" s="28">
        <v>7201306.6299999999</v>
      </c>
    </row>
    <row r="673" spans="1:14" s="20" customFormat="1">
      <c r="A673" s="253"/>
      <c r="B673" s="231"/>
      <c r="C673" s="32" t="s">
        <v>46</v>
      </c>
      <c r="D673" s="77">
        <v>21020108</v>
      </c>
      <c r="E673" s="135" t="s">
        <v>838</v>
      </c>
      <c r="F673" s="136">
        <v>150000</v>
      </c>
      <c r="G673" s="28">
        <v>150000</v>
      </c>
      <c r="H673" s="28"/>
      <c r="I673" s="28"/>
      <c r="J673" s="28">
        <v>150000</v>
      </c>
      <c r="K673" s="488"/>
      <c r="L673" s="467">
        <v>150000</v>
      </c>
      <c r="M673" s="28">
        <v>157500</v>
      </c>
      <c r="N673" s="28">
        <v>165375</v>
      </c>
    </row>
    <row r="674" spans="1:14" s="20" customFormat="1">
      <c r="A674" s="238"/>
      <c r="B674" s="231"/>
      <c r="C674" s="30" t="s">
        <v>1842</v>
      </c>
      <c r="D674" s="23"/>
      <c r="E674" s="25"/>
      <c r="F674" s="137">
        <f>SUM(F664:F673)</f>
        <v>49479335.399999999</v>
      </c>
      <c r="G674" s="114">
        <f>SUM(G664:G673)</f>
        <v>49479335.399999999</v>
      </c>
      <c r="H674" s="114">
        <f t="shared" ref="H674:I674" si="135">SUM(H664:H673)</f>
        <v>0</v>
      </c>
      <c r="I674" s="114">
        <f t="shared" si="135"/>
        <v>0</v>
      </c>
      <c r="J674" s="114">
        <f>SUM(J664:J673)</f>
        <v>49479335.399999999</v>
      </c>
      <c r="K674" s="490"/>
      <c r="L674" s="468">
        <f>SUM(L664:L673)</f>
        <v>49479335.399999999</v>
      </c>
      <c r="M674" s="114">
        <f>SUM(M664:M673)</f>
        <v>44821688.069999993</v>
      </c>
      <c r="N674" s="114">
        <f>SUM(N664:N673)</f>
        <v>54550966.680000015</v>
      </c>
    </row>
    <row r="675" spans="1:14" s="20" customFormat="1">
      <c r="A675" s="253"/>
      <c r="B675" s="231"/>
      <c r="C675" s="32" t="s">
        <v>47</v>
      </c>
      <c r="D675" s="77">
        <v>22020105</v>
      </c>
      <c r="E675" s="135" t="s">
        <v>1733</v>
      </c>
      <c r="F675" s="138">
        <f>628800+11333815.97-3000000</f>
        <v>8962615.9700000007</v>
      </c>
      <c r="G675" s="297">
        <f>628800+11333815.97-3000000</f>
        <v>8962615.9700000007</v>
      </c>
      <c r="H675" s="297"/>
      <c r="I675" s="297">
        <v>8962615.9700000007</v>
      </c>
      <c r="J675" s="136">
        <v>0</v>
      </c>
      <c r="K675" s="502">
        <f>J675*4.38%</f>
        <v>0</v>
      </c>
      <c r="L675" s="469">
        <v>0</v>
      </c>
      <c r="M675" s="297">
        <v>628800</v>
      </c>
      <c r="N675" s="297">
        <v>628800</v>
      </c>
    </row>
    <row r="676" spans="1:14" s="20" customFormat="1">
      <c r="A676" s="253"/>
      <c r="B676" s="231"/>
      <c r="C676" s="32" t="s">
        <v>47</v>
      </c>
      <c r="D676" s="77">
        <v>22020301</v>
      </c>
      <c r="E676" s="135" t="s">
        <v>737</v>
      </c>
      <c r="F676" s="138">
        <v>1247000</v>
      </c>
      <c r="G676" s="297">
        <v>1247000</v>
      </c>
      <c r="H676" s="297"/>
      <c r="I676" s="297"/>
      <c r="J676" s="28">
        <v>1247000</v>
      </c>
      <c r="K676" s="502">
        <f t="shared" ref="K676:K688" si="136">J676*4.38%</f>
        <v>54618.6</v>
      </c>
      <c r="L676" s="469">
        <v>1192381.4000000001</v>
      </c>
      <c r="M676" s="297">
        <v>1247000</v>
      </c>
      <c r="N676" s="297">
        <v>1247000</v>
      </c>
    </row>
    <row r="677" spans="1:14" s="20" customFormat="1">
      <c r="A677" s="253"/>
      <c r="B677" s="231"/>
      <c r="C677" s="32" t="s">
        <v>47</v>
      </c>
      <c r="D677" s="77">
        <v>22020305</v>
      </c>
      <c r="E677" s="135" t="s">
        <v>755</v>
      </c>
      <c r="F677" s="138">
        <v>1026400</v>
      </c>
      <c r="G677" s="297">
        <v>1026400</v>
      </c>
      <c r="H677" s="297"/>
      <c r="I677" s="297"/>
      <c r="J677" s="28">
        <v>1026400</v>
      </c>
      <c r="K677" s="502">
        <f t="shared" si="136"/>
        <v>44956.32</v>
      </c>
      <c r="L677" s="469">
        <v>981443.68</v>
      </c>
      <c r="M677" s="297">
        <v>1026400</v>
      </c>
      <c r="N677" s="297">
        <v>1026400</v>
      </c>
    </row>
    <row r="678" spans="1:14" s="20" customFormat="1">
      <c r="A678" s="253"/>
      <c r="B678" s="231"/>
      <c r="C678" s="32" t="s">
        <v>47</v>
      </c>
      <c r="D678" s="77">
        <v>22020401</v>
      </c>
      <c r="E678" s="135" t="s">
        <v>741</v>
      </c>
      <c r="F678" s="138">
        <v>673600</v>
      </c>
      <c r="G678" s="297">
        <v>673600</v>
      </c>
      <c r="H678" s="297"/>
      <c r="I678" s="297"/>
      <c r="J678" s="28">
        <v>673600</v>
      </c>
      <c r="K678" s="502">
        <f t="shared" si="136"/>
        <v>29503.68</v>
      </c>
      <c r="L678" s="469">
        <v>644096.32000000007</v>
      </c>
      <c r="M678" s="297">
        <v>673600</v>
      </c>
      <c r="N678" s="297">
        <v>673600</v>
      </c>
    </row>
    <row r="679" spans="1:14" s="20" customFormat="1">
      <c r="A679" s="253"/>
      <c r="B679" s="231"/>
      <c r="C679" s="32" t="s">
        <v>47</v>
      </c>
      <c r="D679" s="77">
        <v>22020402</v>
      </c>
      <c r="E679" s="135" t="s">
        <v>757</v>
      </c>
      <c r="F679" s="138">
        <v>200000</v>
      </c>
      <c r="G679" s="297">
        <v>200000</v>
      </c>
      <c r="H679" s="297"/>
      <c r="I679" s="297"/>
      <c r="J679" s="28">
        <v>200000</v>
      </c>
      <c r="K679" s="502">
        <f t="shared" si="136"/>
        <v>8760</v>
      </c>
      <c r="L679" s="469">
        <v>191240</v>
      </c>
      <c r="M679" s="297">
        <v>200000</v>
      </c>
      <c r="N679" s="297">
        <v>200000</v>
      </c>
    </row>
    <row r="680" spans="1:14" s="20" customFormat="1">
      <c r="A680" s="253"/>
      <c r="B680" s="231"/>
      <c r="C680" s="32" t="s">
        <v>47</v>
      </c>
      <c r="D680" s="77">
        <v>22020404</v>
      </c>
      <c r="E680" s="135" t="s">
        <v>742</v>
      </c>
      <c r="F680" s="138">
        <v>132000</v>
      </c>
      <c r="G680" s="297">
        <v>132000</v>
      </c>
      <c r="H680" s="297"/>
      <c r="I680" s="297"/>
      <c r="J680" s="28">
        <v>132000</v>
      </c>
      <c r="K680" s="502">
        <f t="shared" si="136"/>
        <v>5781.5999999999995</v>
      </c>
      <c r="L680" s="469">
        <v>126218.40000000001</v>
      </c>
      <c r="M680" s="297">
        <v>132000</v>
      </c>
      <c r="N680" s="297">
        <v>132000</v>
      </c>
    </row>
    <row r="681" spans="1:14" s="20" customFormat="1">
      <c r="A681" s="253"/>
      <c r="B681" s="231"/>
      <c r="C681" s="32" t="s">
        <v>47</v>
      </c>
      <c r="D681" s="77">
        <v>22020414</v>
      </c>
      <c r="E681" s="135" t="s">
        <v>1729</v>
      </c>
      <c r="F681" s="138">
        <v>800000</v>
      </c>
      <c r="G681" s="297">
        <v>800000</v>
      </c>
      <c r="H681" s="297"/>
      <c r="I681" s="297"/>
      <c r="J681" s="28">
        <v>800000</v>
      </c>
      <c r="K681" s="502">
        <f t="shared" si="136"/>
        <v>35040</v>
      </c>
      <c r="L681" s="469">
        <v>764960</v>
      </c>
      <c r="M681" s="297">
        <v>800000</v>
      </c>
      <c r="N681" s="297">
        <v>800000</v>
      </c>
    </row>
    <row r="682" spans="1:14" s="20" customFormat="1">
      <c r="A682" s="253"/>
      <c r="B682" s="231"/>
      <c r="C682" s="32" t="s">
        <v>47</v>
      </c>
      <c r="D682" s="77">
        <v>22020801</v>
      </c>
      <c r="E682" s="135" t="s">
        <v>747</v>
      </c>
      <c r="F682" s="138">
        <v>652500</v>
      </c>
      <c r="G682" s="297">
        <v>652500</v>
      </c>
      <c r="H682" s="297"/>
      <c r="I682" s="297"/>
      <c r="J682" s="28">
        <v>652500</v>
      </c>
      <c r="K682" s="502">
        <f t="shared" si="136"/>
        <v>28579.5</v>
      </c>
      <c r="L682" s="469">
        <v>623920.5</v>
      </c>
      <c r="M682" s="297">
        <v>652500</v>
      </c>
      <c r="N682" s="297">
        <v>652500</v>
      </c>
    </row>
    <row r="683" spans="1:14" s="20" customFormat="1">
      <c r="A683" s="253"/>
      <c r="B683" s="231"/>
      <c r="C683" s="32" t="s">
        <v>47</v>
      </c>
      <c r="D683" s="77">
        <v>22020803</v>
      </c>
      <c r="E683" s="135" t="s">
        <v>748</v>
      </c>
      <c r="F683" s="138">
        <v>250000</v>
      </c>
      <c r="G683" s="297">
        <v>250000</v>
      </c>
      <c r="H683" s="297"/>
      <c r="I683" s="297"/>
      <c r="J683" s="28">
        <v>250000</v>
      </c>
      <c r="K683" s="502">
        <f t="shared" si="136"/>
        <v>10950</v>
      </c>
      <c r="L683" s="469">
        <v>239050</v>
      </c>
      <c r="M683" s="297">
        <v>250000</v>
      </c>
      <c r="N683" s="297">
        <v>250000</v>
      </c>
    </row>
    <row r="684" spans="1:14" s="20" customFormat="1">
      <c r="A684" s="253"/>
      <c r="B684" s="231"/>
      <c r="C684" s="32" t="s">
        <v>47</v>
      </c>
      <c r="D684" s="77">
        <v>22021001</v>
      </c>
      <c r="E684" s="135" t="s">
        <v>772</v>
      </c>
      <c r="F684" s="138">
        <v>1142000</v>
      </c>
      <c r="G684" s="297">
        <v>1142000</v>
      </c>
      <c r="H684" s="297"/>
      <c r="I684" s="297"/>
      <c r="J684" s="28">
        <v>1142000</v>
      </c>
      <c r="K684" s="502">
        <f t="shared" si="136"/>
        <v>50019.6</v>
      </c>
      <c r="L684" s="469">
        <v>1091980.4000000001</v>
      </c>
      <c r="M684" s="297">
        <v>1142000</v>
      </c>
      <c r="N684" s="297">
        <v>1142000</v>
      </c>
    </row>
    <row r="685" spans="1:14" s="20" customFormat="1">
      <c r="A685" s="253"/>
      <c r="B685" s="231"/>
      <c r="C685" s="32" t="s">
        <v>47</v>
      </c>
      <c r="D685" s="77">
        <v>22021003</v>
      </c>
      <c r="E685" s="135" t="s">
        <v>760</v>
      </c>
      <c r="F685" s="138">
        <v>306000</v>
      </c>
      <c r="G685" s="297">
        <v>306000</v>
      </c>
      <c r="H685" s="297"/>
      <c r="I685" s="297"/>
      <c r="J685" s="28">
        <v>306000</v>
      </c>
      <c r="K685" s="502">
        <f t="shared" si="136"/>
        <v>13402.8</v>
      </c>
      <c r="L685" s="469">
        <v>292597.2</v>
      </c>
      <c r="M685" s="297">
        <v>306000</v>
      </c>
      <c r="N685" s="297">
        <v>306000</v>
      </c>
    </row>
    <row r="686" spans="1:14" s="20" customFormat="1">
      <c r="A686" s="253"/>
      <c r="B686" s="231"/>
      <c r="C686" s="32" t="s">
        <v>47</v>
      </c>
      <c r="D686" s="77">
        <v>22021006</v>
      </c>
      <c r="E686" s="135" t="s">
        <v>855</v>
      </c>
      <c r="F686" s="138">
        <v>10000</v>
      </c>
      <c r="G686" s="297">
        <v>10000</v>
      </c>
      <c r="H686" s="297"/>
      <c r="I686" s="297"/>
      <c r="J686" s="28">
        <v>10000</v>
      </c>
      <c r="K686" s="502">
        <f t="shared" si="136"/>
        <v>438</v>
      </c>
      <c r="L686" s="469">
        <v>9562</v>
      </c>
      <c r="M686" s="297">
        <v>10000</v>
      </c>
      <c r="N686" s="297">
        <v>10000</v>
      </c>
    </row>
    <row r="687" spans="1:14" s="20" customFormat="1">
      <c r="A687" s="253"/>
      <c r="B687" s="231"/>
      <c r="C687" s="32" t="s">
        <v>47</v>
      </c>
      <c r="D687" s="77">
        <v>22021011</v>
      </c>
      <c r="E687" s="135" t="s">
        <v>1736</v>
      </c>
      <c r="F687" s="138">
        <v>2960999.98</v>
      </c>
      <c r="G687" s="297">
        <v>2960999.98</v>
      </c>
      <c r="H687" s="297"/>
      <c r="I687" s="297">
        <v>2461000</v>
      </c>
      <c r="J687" s="28">
        <v>499999.98</v>
      </c>
      <c r="K687" s="502">
        <f t="shared" si="136"/>
        <v>21899.999123999998</v>
      </c>
      <c r="L687" s="469">
        <v>478099.98087600002</v>
      </c>
      <c r="M687" s="297">
        <v>2960999.98</v>
      </c>
      <c r="N687" s="297">
        <v>2960999.98</v>
      </c>
    </row>
    <row r="688" spans="1:14" s="20" customFormat="1">
      <c r="A688" s="253"/>
      <c r="B688" s="231"/>
      <c r="C688" s="32" t="s">
        <v>47</v>
      </c>
      <c r="D688" s="77">
        <v>22021013</v>
      </c>
      <c r="E688" s="135" t="s">
        <v>2609</v>
      </c>
      <c r="F688" s="138"/>
      <c r="G688" s="297"/>
      <c r="H688" s="297">
        <v>11423616</v>
      </c>
      <c r="I688" s="297"/>
      <c r="J688" s="28">
        <v>11423616</v>
      </c>
      <c r="K688" s="502">
        <f t="shared" si="136"/>
        <v>500354.38079999998</v>
      </c>
      <c r="L688" s="469">
        <v>10923261.619200001</v>
      </c>
      <c r="M688" s="297"/>
      <c r="N688" s="297"/>
    </row>
    <row r="689" spans="1:14" s="20" customFormat="1">
      <c r="A689" s="238"/>
      <c r="B689" s="231"/>
      <c r="C689" s="30" t="s">
        <v>1839</v>
      </c>
      <c r="D689" s="23"/>
      <c r="E689" s="25"/>
      <c r="F689" s="137">
        <f>SUM(F675:F687)</f>
        <v>18363115.949999999</v>
      </c>
      <c r="G689" s="114">
        <f>SUM(G675:G688)</f>
        <v>18363115.949999999</v>
      </c>
      <c r="H689" s="114">
        <f t="shared" ref="H689:I689" si="137">SUM(H675:H688)</f>
        <v>11423616</v>
      </c>
      <c r="I689" s="114">
        <f t="shared" si="137"/>
        <v>11423615.970000001</v>
      </c>
      <c r="J689" s="114">
        <f>SUM(J675:J688)</f>
        <v>18363115.98</v>
      </c>
      <c r="K689" s="490">
        <f>SUM(K675:K688)</f>
        <v>804304.47992399998</v>
      </c>
      <c r="L689" s="468">
        <f>SUM(L675:L688)</f>
        <v>17558811.500076003</v>
      </c>
      <c r="M689" s="114">
        <f>SUM(M675:M687)</f>
        <v>10029299.98</v>
      </c>
      <c r="N689" s="114">
        <f>SUM(N675:N687)</f>
        <v>10029299.98</v>
      </c>
    </row>
    <row r="690" spans="1:14" s="66" customFormat="1" ht="30">
      <c r="A690" s="238" t="s">
        <v>879</v>
      </c>
      <c r="B690" s="231" t="s">
        <v>1865</v>
      </c>
      <c r="C690" s="30"/>
      <c r="D690" s="23"/>
      <c r="E690" s="25"/>
      <c r="F690" s="137">
        <f>F689+F674</f>
        <v>67842451.349999994</v>
      </c>
      <c r="G690" s="114">
        <f>G689+G674</f>
        <v>67842451.349999994</v>
      </c>
      <c r="H690" s="114">
        <f t="shared" ref="H690:I690" si="138">H689+H674</f>
        <v>11423616</v>
      </c>
      <c r="I690" s="114">
        <f t="shared" si="138"/>
        <v>11423615.970000001</v>
      </c>
      <c r="J690" s="114">
        <f>J689+J674</f>
        <v>67842451.379999995</v>
      </c>
      <c r="K690" s="490"/>
      <c r="L690" s="468">
        <f>L689+L674</f>
        <v>67038146.900076002</v>
      </c>
      <c r="M690" s="114">
        <f>M689+M674</f>
        <v>54850988.049999997</v>
      </c>
      <c r="N690" s="114">
        <f>N689+N674</f>
        <v>64580266.660000011</v>
      </c>
    </row>
    <row r="691" spans="1:14" s="20" customFormat="1" ht="21">
      <c r="A691" s="252"/>
      <c r="B691" s="443"/>
      <c r="C691" s="228"/>
      <c r="D691" s="229"/>
      <c r="E691" s="230"/>
      <c r="F691" s="215"/>
      <c r="G691" s="296"/>
      <c r="H691" s="296"/>
      <c r="I691" s="296"/>
      <c r="J691" s="28"/>
      <c r="K691" s="488"/>
      <c r="L691" s="468"/>
      <c r="M691" s="296"/>
      <c r="N691" s="296"/>
    </row>
    <row r="692" spans="1:14" s="20" customFormat="1" ht="30">
      <c r="A692" s="238" t="s">
        <v>882</v>
      </c>
      <c r="B692" s="231" t="s">
        <v>108</v>
      </c>
      <c r="C692" s="32" t="s">
        <v>46</v>
      </c>
      <c r="D692" s="77">
        <v>21010101</v>
      </c>
      <c r="E692" s="135" t="s">
        <v>725</v>
      </c>
      <c r="F692" s="136">
        <v>150082920</v>
      </c>
      <c r="G692" s="28">
        <v>60758153.640000001</v>
      </c>
      <c r="H692" s="28"/>
      <c r="I692" s="28"/>
      <c r="J692" s="28">
        <v>60758153.640000001</v>
      </c>
      <c r="K692" s="488"/>
      <c r="L692" s="467">
        <v>60758153.640000001</v>
      </c>
      <c r="M692" s="28">
        <f>G692*10%+G692</f>
        <v>66833969.004000001</v>
      </c>
      <c r="N692" s="28">
        <f>M692*10%+M692</f>
        <v>73517365.904400006</v>
      </c>
    </row>
    <row r="693" spans="1:14" s="20" customFormat="1">
      <c r="A693" s="238"/>
      <c r="B693" s="231"/>
      <c r="C693" s="30" t="s">
        <v>1836</v>
      </c>
      <c r="D693" s="23"/>
      <c r="E693" s="25"/>
      <c r="F693" s="137">
        <f>SUM(F692)</f>
        <v>150082920</v>
      </c>
      <c r="G693" s="114">
        <f>SUM(G692)</f>
        <v>60758153.640000001</v>
      </c>
      <c r="H693" s="114">
        <f t="shared" ref="H693:I693" si="139">SUM(H692)</f>
        <v>0</v>
      </c>
      <c r="I693" s="114">
        <f t="shared" si="139"/>
        <v>0</v>
      </c>
      <c r="J693" s="114">
        <f>SUM(J692)</f>
        <v>60758153.640000001</v>
      </c>
      <c r="K693" s="490"/>
      <c r="L693" s="468">
        <f>SUM(L692)</f>
        <v>60758153.640000001</v>
      </c>
      <c r="M693" s="114">
        <f>SUM(M692)</f>
        <v>66833969.004000001</v>
      </c>
      <c r="N693" s="114">
        <f>SUM(N692)</f>
        <v>73517365.904400006</v>
      </c>
    </row>
    <row r="694" spans="1:14" s="20" customFormat="1">
      <c r="A694" s="253"/>
      <c r="B694" s="231"/>
      <c r="C694" s="32" t="s">
        <v>47</v>
      </c>
      <c r="D694" s="77">
        <v>22020105</v>
      </c>
      <c r="E694" s="135" t="s">
        <v>1733</v>
      </c>
      <c r="F694" s="138">
        <v>2633570</v>
      </c>
      <c r="G694" s="297">
        <v>4626000</v>
      </c>
      <c r="H694" s="297"/>
      <c r="I694" s="297"/>
      <c r="J694" s="28">
        <v>4626000</v>
      </c>
      <c r="K694" s="488">
        <f>J694*4.38%</f>
        <v>202618.8</v>
      </c>
      <c r="L694" s="469">
        <v>4423381.2</v>
      </c>
      <c r="M694" s="297">
        <v>2633570</v>
      </c>
      <c r="N694" s="297">
        <v>2633570</v>
      </c>
    </row>
    <row r="695" spans="1:14" s="20" customFormat="1">
      <c r="A695" s="253"/>
      <c r="B695" s="231"/>
      <c r="C695" s="32" t="s">
        <v>47</v>
      </c>
      <c r="D695" s="77">
        <v>22020208</v>
      </c>
      <c r="E695" s="135" t="s">
        <v>799</v>
      </c>
      <c r="F695" s="138">
        <v>974250</v>
      </c>
      <c r="G695" s="297">
        <v>1434000</v>
      </c>
      <c r="H695" s="297"/>
      <c r="I695" s="297"/>
      <c r="J695" s="28">
        <v>1434000</v>
      </c>
      <c r="K695" s="488">
        <f t="shared" ref="K695:K708" si="140">J695*4.38%</f>
        <v>62809.2</v>
      </c>
      <c r="L695" s="469">
        <v>1371190.8</v>
      </c>
      <c r="M695" s="297">
        <v>974250</v>
      </c>
      <c r="N695" s="297">
        <v>974250</v>
      </c>
    </row>
    <row r="696" spans="1:14" s="20" customFormat="1">
      <c r="A696" s="253"/>
      <c r="B696" s="231"/>
      <c r="C696" s="32" t="s">
        <v>47</v>
      </c>
      <c r="D696" s="77">
        <v>22020301</v>
      </c>
      <c r="E696" s="135" t="s">
        <v>737</v>
      </c>
      <c r="F696" s="138">
        <v>2227200</v>
      </c>
      <c r="G696" s="297">
        <v>1940000</v>
      </c>
      <c r="H696" s="297">
        <f>1400920-1105500</f>
        <v>295420</v>
      </c>
      <c r="I696" s="297"/>
      <c r="J696" s="28">
        <v>2235420</v>
      </c>
      <c r="K696" s="488">
        <f t="shared" si="140"/>
        <v>97911.395999999993</v>
      </c>
      <c r="L696" s="469">
        <v>2137508.6040000003</v>
      </c>
      <c r="M696" s="297">
        <v>2234700</v>
      </c>
      <c r="N696" s="297">
        <v>2225700</v>
      </c>
    </row>
    <row r="697" spans="1:14" s="20" customFormat="1">
      <c r="A697" s="253"/>
      <c r="B697" s="231"/>
      <c r="C697" s="32" t="s">
        <v>47</v>
      </c>
      <c r="D697" s="77">
        <v>22020401</v>
      </c>
      <c r="E697" s="135" t="s">
        <v>741</v>
      </c>
      <c r="F697" s="138">
        <v>1275000</v>
      </c>
      <c r="G697" s="297">
        <v>510000</v>
      </c>
      <c r="H697" s="297"/>
      <c r="I697" s="297"/>
      <c r="J697" s="28">
        <v>510000</v>
      </c>
      <c r="K697" s="488">
        <f t="shared" si="140"/>
        <v>22338</v>
      </c>
      <c r="L697" s="469">
        <v>487662</v>
      </c>
      <c r="M697" s="297">
        <v>1275000</v>
      </c>
      <c r="N697" s="297">
        <v>1275000</v>
      </c>
    </row>
    <row r="698" spans="1:14" s="20" customFormat="1">
      <c r="A698" s="253"/>
      <c r="B698" s="231"/>
      <c r="C698" s="32" t="s">
        <v>47</v>
      </c>
      <c r="D698" s="77">
        <v>22020402</v>
      </c>
      <c r="E698" s="135" t="s">
        <v>757</v>
      </c>
      <c r="F698" s="138">
        <v>146478</v>
      </c>
      <c r="G698" s="297">
        <v>50000</v>
      </c>
      <c r="H698" s="297">
        <v>676000</v>
      </c>
      <c r="I698" s="297"/>
      <c r="J698" s="28">
        <v>726000</v>
      </c>
      <c r="K698" s="488">
        <f t="shared" si="140"/>
        <v>31798.799999999999</v>
      </c>
      <c r="L698" s="469">
        <v>694201.20000000007</v>
      </c>
      <c r="M698" s="297">
        <v>146478</v>
      </c>
      <c r="N698" s="297">
        <v>146478</v>
      </c>
    </row>
    <row r="699" spans="1:14" s="20" customFormat="1">
      <c r="A699" s="253"/>
      <c r="B699" s="231"/>
      <c r="C699" s="32" t="s">
        <v>47</v>
      </c>
      <c r="D699" s="77">
        <v>22020416</v>
      </c>
      <c r="E699" s="135" t="s">
        <v>782</v>
      </c>
      <c r="F699" s="138">
        <v>1266790</v>
      </c>
      <c r="G699" s="297">
        <v>1173000</v>
      </c>
      <c r="H699" s="297"/>
      <c r="I699" s="297"/>
      <c r="J699" s="28">
        <v>1173000</v>
      </c>
      <c r="K699" s="488">
        <f t="shared" si="140"/>
        <v>51377.4</v>
      </c>
      <c r="L699" s="469">
        <v>1121622.6000000001</v>
      </c>
      <c r="M699" s="297">
        <v>1266790</v>
      </c>
      <c r="N699" s="297">
        <v>1266790</v>
      </c>
    </row>
    <row r="700" spans="1:14" s="20" customFormat="1">
      <c r="A700" s="253"/>
      <c r="B700" s="231"/>
      <c r="C700" s="32" t="s">
        <v>47</v>
      </c>
      <c r="D700" s="77">
        <v>22020602</v>
      </c>
      <c r="E700" s="135" t="s">
        <v>767</v>
      </c>
      <c r="F700" s="138">
        <v>450000</v>
      </c>
      <c r="G700" s="297">
        <v>543000</v>
      </c>
      <c r="H700" s="297"/>
      <c r="I700" s="297"/>
      <c r="J700" s="28">
        <v>543000</v>
      </c>
      <c r="K700" s="488">
        <f t="shared" si="140"/>
        <v>23783.399999999998</v>
      </c>
      <c r="L700" s="469">
        <v>519216.60000000003</v>
      </c>
      <c r="M700" s="297">
        <v>450000</v>
      </c>
      <c r="N700" s="297">
        <v>450000</v>
      </c>
    </row>
    <row r="701" spans="1:14" s="20" customFormat="1">
      <c r="A701" s="253"/>
      <c r="B701" s="231"/>
      <c r="C701" s="32" t="s">
        <v>47</v>
      </c>
      <c r="D701" s="77">
        <v>22020709</v>
      </c>
      <c r="E701" s="135" t="s">
        <v>771</v>
      </c>
      <c r="F701" s="138">
        <v>930000</v>
      </c>
      <c r="G701" s="297">
        <v>310000</v>
      </c>
      <c r="H701" s="297">
        <v>290000</v>
      </c>
      <c r="I701" s="297"/>
      <c r="J701" s="28">
        <v>600000</v>
      </c>
      <c r="K701" s="488">
        <f t="shared" si="140"/>
        <v>26280</v>
      </c>
      <c r="L701" s="469">
        <v>573720</v>
      </c>
      <c r="M701" s="297">
        <v>930000</v>
      </c>
      <c r="N701" s="297">
        <v>930000</v>
      </c>
    </row>
    <row r="702" spans="1:14" s="20" customFormat="1">
      <c r="A702" s="253"/>
      <c r="B702" s="231"/>
      <c r="C702" s="32" t="s">
        <v>47</v>
      </c>
      <c r="D702" s="77">
        <v>22020801</v>
      </c>
      <c r="E702" s="135" t="s">
        <v>747</v>
      </c>
      <c r="F702" s="138">
        <v>2058000</v>
      </c>
      <c r="G702" s="297">
        <v>2811000</v>
      </c>
      <c r="H702" s="297"/>
      <c r="I702" s="297"/>
      <c r="J702" s="28">
        <v>2811000</v>
      </c>
      <c r="K702" s="488">
        <f t="shared" si="140"/>
        <v>123121.8</v>
      </c>
      <c r="L702" s="469">
        <v>2687878.2</v>
      </c>
      <c r="M702" s="297">
        <v>2058000</v>
      </c>
      <c r="N702" s="297">
        <v>4116000</v>
      </c>
    </row>
    <row r="703" spans="1:14" s="20" customFormat="1">
      <c r="A703" s="253"/>
      <c r="B703" s="231"/>
      <c r="C703" s="32" t="s">
        <v>47</v>
      </c>
      <c r="D703" s="77">
        <v>22020803</v>
      </c>
      <c r="E703" s="135" t="s">
        <v>748</v>
      </c>
      <c r="F703" s="138">
        <v>556920</v>
      </c>
      <c r="G703" s="297">
        <f>556920+1000000</f>
        <v>1556920</v>
      </c>
      <c r="H703" s="297"/>
      <c r="I703" s="297">
        <v>920</v>
      </c>
      <c r="J703" s="28">
        <v>1556000</v>
      </c>
      <c r="K703" s="488">
        <f t="shared" si="140"/>
        <v>68152.800000000003</v>
      </c>
      <c r="L703" s="469">
        <v>1487847.2000000002</v>
      </c>
      <c r="M703" s="297">
        <v>556920</v>
      </c>
      <c r="N703" s="297">
        <v>556920</v>
      </c>
    </row>
    <row r="704" spans="1:14" s="20" customFormat="1">
      <c r="A704" s="253"/>
      <c r="B704" s="231"/>
      <c r="C704" s="32" t="s">
        <v>47</v>
      </c>
      <c r="D704" s="77">
        <v>22020901</v>
      </c>
      <c r="E704" s="135" t="s">
        <v>749</v>
      </c>
      <c r="F704" s="138">
        <f>7400+100</f>
        <v>7500</v>
      </c>
      <c r="G704" s="297">
        <f>7400+100</f>
        <v>7500</v>
      </c>
      <c r="H704" s="297">
        <v>42500</v>
      </c>
      <c r="I704" s="297"/>
      <c r="J704" s="28">
        <v>50000</v>
      </c>
      <c r="K704" s="488">
        <f t="shared" si="140"/>
        <v>2190</v>
      </c>
      <c r="L704" s="469">
        <v>47810</v>
      </c>
      <c r="M704" s="297">
        <f>G704*10%+G704</f>
        <v>8250</v>
      </c>
      <c r="N704" s="297">
        <f>M704*10%+M704</f>
        <v>9075</v>
      </c>
    </row>
    <row r="705" spans="1:14" s="20" customFormat="1">
      <c r="A705" s="253"/>
      <c r="B705" s="231"/>
      <c r="C705" s="32" t="s">
        <v>47</v>
      </c>
      <c r="D705" s="77">
        <v>22021001</v>
      </c>
      <c r="E705" s="135" t="s">
        <v>772</v>
      </c>
      <c r="F705" s="138">
        <v>328360</v>
      </c>
      <c r="G705" s="297">
        <f>328360+1000000</f>
        <v>1328360</v>
      </c>
      <c r="H705" s="297"/>
      <c r="I705" s="297">
        <v>400000</v>
      </c>
      <c r="J705" s="28">
        <v>928360</v>
      </c>
      <c r="K705" s="488">
        <f t="shared" si="140"/>
        <v>40662.167999999998</v>
      </c>
      <c r="L705" s="469">
        <v>887697.83200000005</v>
      </c>
      <c r="M705" s="297">
        <v>328360</v>
      </c>
      <c r="N705" s="297">
        <v>328360</v>
      </c>
    </row>
    <row r="706" spans="1:14" s="20" customFormat="1">
      <c r="A706" s="253"/>
      <c r="B706" s="231"/>
      <c r="C706" s="32" t="s">
        <v>47</v>
      </c>
      <c r="D706" s="77">
        <v>22021003</v>
      </c>
      <c r="E706" s="135" t="s">
        <v>760</v>
      </c>
      <c r="F706" s="138">
        <f>467540+97000</f>
        <v>564540</v>
      </c>
      <c r="G706" s="297">
        <f>467540+97000+2000000</f>
        <v>2564540</v>
      </c>
      <c r="H706" s="297"/>
      <c r="I706" s="297">
        <v>1000000</v>
      </c>
      <c r="J706" s="28">
        <v>1564540</v>
      </c>
      <c r="K706" s="488">
        <f t="shared" si="140"/>
        <v>68526.851999999999</v>
      </c>
      <c r="L706" s="469">
        <v>1496013.148</v>
      </c>
      <c r="M706" s="297">
        <v>467540</v>
      </c>
      <c r="N706" s="297">
        <v>467540</v>
      </c>
    </row>
    <row r="707" spans="1:14" s="20" customFormat="1">
      <c r="A707" s="253"/>
      <c r="B707" s="231"/>
      <c r="C707" s="32" t="s">
        <v>47</v>
      </c>
      <c r="D707" s="77">
        <v>22020302</v>
      </c>
      <c r="E707" s="135" t="s">
        <v>872</v>
      </c>
      <c r="F707" s="138"/>
      <c r="G707" s="297"/>
      <c r="H707" s="297">
        <v>97000</v>
      </c>
      <c r="I707" s="297"/>
      <c r="J707" s="28">
        <v>97000</v>
      </c>
      <c r="K707" s="488">
        <f t="shared" si="140"/>
        <v>4248.5999999999995</v>
      </c>
      <c r="L707" s="469">
        <v>92751.400000000009</v>
      </c>
      <c r="M707" s="297"/>
      <c r="N707" s="297"/>
    </row>
    <row r="708" spans="1:14" s="20" customFormat="1">
      <c r="A708" s="238"/>
      <c r="B708" s="231"/>
      <c r="C708" s="30" t="s">
        <v>1839</v>
      </c>
      <c r="D708" s="23"/>
      <c r="E708" s="25"/>
      <c r="F708" s="137">
        <f>SUM(F694:F706)</f>
        <v>13418608</v>
      </c>
      <c r="G708" s="114">
        <f>SUM(G694:G707)</f>
        <v>18854320</v>
      </c>
      <c r="H708" s="114">
        <f t="shared" ref="H708:I708" si="141">SUM(H694:H707)</f>
        <v>1400920</v>
      </c>
      <c r="I708" s="114">
        <f t="shared" si="141"/>
        <v>1400920</v>
      </c>
      <c r="J708" s="114">
        <f>SUM(J694:J707)</f>
        <v>18854320</v>
      </c>
      <c r="K708" s="490">
        <f t="shared" si="140"/>
        <v>825819.21600000001</v>
      </c>
      <c r="L708" s="468">
        <f>SUM(L694:L707)</f>
        <v>18028500.783999998</v>
      </c>
      <c r="M708" s="114">
        <f>SUM(M694:M706)</f>
        <v>13329858</v>
      </c>
      <c r="N708" s="114">
        <f>SUM(N694:N706)</f>
        <v>15379683</v>
      </c>
    </row>
    <row r="709" spans="1:14" s="66" customFormat="1" ht="30">
      <c r="A709" s="238" t="s">
        <v>882</v>
      </c>
      <c r="B709" s="231" t="s">
        <v>1866</v>
      </c>
      <c r="C709" s="30"/>
      <c r="D709" s="23"/>
      <c r="E709" s="25"/>
      <c r="F709" s="137">
        <f>F708+F693</f>
        <v>163501528</v>
      </c>
      <c r="G709" s="114">
        <f>G708+G693</f>
        <v>79612473.640000001</v>
      </c>
      <c r="H709" s="114">
        <f t="shared" ref="H709:I709" si="142">H708+H693</f>
        <v>1400920</v>
      </c>
      <c r="I709" s="114">
        <f t="shared" si="142"/>
        <v>1400920</v>
      </c>
      <c r="J709" s="114">
        <f>J708+J693</f>
        <v>79612473.640000001</v>
      </c>
      <c r="K709" s="490"/>
      <c r="L709" s="468">
        <f>L708+L693</f>
        <v>78786654.423999995</v>
      </c>
      <c r="M709" s="114">
        <f>M708+M693</f>
        <v>80163827.004000008</v>
      </c>
      <c r="N709" s="114">
        <f>N708+N693</f>
        <v>88897048.904400006</v>
      </c>
    </row>
    <row r="710" spans="1:14" s="20" customFormat="1" ht="21">
      <c r="A710" s="252"/>
      <c r="B710" s="443"/>
      <c r="C710" s="228"/>
      <c r="D710" s="229"/>
      <c r="E710" s="230"/>
      <c r="F710" s="215"/>
      <c r="G710" s="296"/>
      <c r="H710" s="296"/>
      <c r="I710" s="296"/>
      <c r="J710" s="28"/>
      <c r="K710" s="488"/>
      <c r="L710" s="468"/>
      <c r="M710" s="296"/>
      <c r="N710" s="296"/>
    </row>
    <row r="711" spans="1:14" s="20" customFormat="1" ht="30">
      <c r="A711" s="238" t="s">
        <v>885</v>
      </c>
      <c r="B711" s="231" t="s">
        <v>884</v>
      </c>
      <c r="C711" s="32" t="s">
        <v>46</v>
      </c>
      <c r="D711" s="403">
        <v>21010101</v>
      </c>
      <c r="E711" s="404" t="s">
        <v>725</v>
      </c>
      <c r="F711" s="218">
        <v>55240920</v>
      </c>
      <c r="G711" s="402">
        <v>55240920</v>
      </c>
      <c r="H711" s="402"/>
      <c r="I711" s="402"/>
      <c r="J711" s="28">
        <v>55240920</v>
      </c>
      <c r="K711" s="488"/>
      <c r="L711" s="467">
        <v>55240920</v>
      </c>
      <c r="M711" s="402">
        <v>58002966</v>
      </c>
      <c r="N711" s="402">
        <v>60903114</v>
      </c>
    </row>
    <row r="712" spans="1:14" s="20" customFormat="1" ht="15.75">
      <c r="A712" s="253"/>
      <c r="B712" s="231"/>
      <c r="C712" s="32" t="s">
        <v>46</v>
      </c>
      <c r="D712" s="403">
        <v>21020101</v>
      </c>
      <c r="E712" s="404" t="s">
        <v>726</v>
      </c>
      <c r="F712" s="218">
        <v>13824240</v>
      </c>
      <c r="G712" s="402">
        <v>13824240</v>
      </c>
      <c r="H712" s="402"/>
      <c r="I712" s="402"/>
      <c r="J712" s="28">
        <v>13824240</v>
      </c>
      <c r="K712" s="488"/>
      <c r="L712" s="467">
        <v>13824240</v>
      </c>
      <c r="M712" s="402">
        <v>14515452</v>
      </c>
      <c r="N712" s="402">
        <v>15241225</v>
      </c>
    </row>
    <row r="713" spans="1:14" s="20" customFormat="1" ht="15.75">
      <c r="A713" s="253"/>
      <c r="B713" s="231"/>
      <c r="C713" s="32" t="s">
        <v>46</v>
      </c>
      <c r="D713" s="403">
        <v>21020102</v>
      </c>
      <c r="E713" s="404" t="s">
        <v>727</v>
      </c>
      <c r="F713" s="218">
        <v>5585844</v>
      </c>
      <c r="G713" s="402">
        <v>5585844</v>
      </c>
      <c r="H713" s="402"/>
      <c r="I713" s="402"/>
      <c r="J713" s="28">
        <v>5585844</v>
      </c>
      <c r="K713" s="488"/>
      <c r="L713" s="467">
        <v>5585844</v>
      </c>
      <c r="M713" s="402">
        <v>5865136</v>
      </c>
      <c r="N713" s="402">
        <v>6158393</v>
      </c>
    </row>
    <row r="714" spans="1:14" s="20" customFormat="1" ht="15.75">
      <c r="A714" s="253"/>
      <c r="B714" s="231"/>
      <c r="C714" s="32" t="s">
        <v>46</v>
      </c>
      <c r="D714" s="403">
        <v>21020103</v>
      </c>
      <c r="E714" s="404" t="s">
        <v>728</v>
      </c>
      <c r="F714" s="218">
        <v>2785476</v>
      </c>
      <c r="G714" s="402">
        <v>2785476</v>
      </c>
      <c r="H714" s="402"/>
      <c r="I714" s="402"/>
      <c r="J714" s="28">
        <v>2785476</v>
      </c>
      <c r="K714" s="488"/>
      <c r="L714" s="467">
        <v>2785476</v>
      </c>
      <c r="M714" s="402">
        <v>2924750</v>
      </c>
      <c r="N714" s="402">
        <v>3070988</v>
      </c>
    </row>
    <row r="715" spans="1:14" s="20" customFormat="1" ht="15.75">
      <c r="A715" s="253"/>
      <c r="B715" s="231"/>
      <c r="C715" s="32" t="s">
        <v>46</v>
      </c>
      <c r="D715" s="403">
        <v>21020104</v>
      </c>
      <c r="E715" s="404" t="s">
        <v>729</v>
      </c>
      <c r="F715" s="218">
        <v>2785476</v>
      </c>
      <c r="G715" s="402">
        <v>2785476</v>
      </c>
      <c r="H715" s="402"/>
      <c r="I715" s="402"/>
      <c r="J715" s="28">
        <v>2785476</v>
      </c>
      <c r="K715" s="488"/>
      <c r="L715" s="467">
        <v>2785476</v>
      </c>
      <c r="M715" s="402">
        <v>2924750</v>
      </c>
      <c r="N715" s="402">
        <v>3070988</v>
      </c>
    </row>
    <row r="716" spans="1:14" s="20" customFormat="1" ht="15.75">
      <c r="A716" s="253"/>
      <c r="B716" s="231"/>
      <c r="C716" s="32" t="s">
        <v>46</v>
      </c>
      <c r="D716" s="403">
        <v>21020105</v>
      </c>
      <c r="E716" s="404" t="s">
        <v>730</v>
      </c>
      <c r="F716" s="218">
        <v>250536</v>
      </c>
      <c r="G716" s="402">
        <v>250536</v>
      </c>
      <c r="H716" s="402"/>
      <c r="I716" s="402"/>
      <c r="J716" s="28">
        <v>250536</v>
      </c>
      <c r="K716" s="488"/>
      <c r="L716" s="467">
        <v>250536</v>
      </c>
      <c r="M716" s="402">
        <v>263063</v>
      </c>
      <c r="N716" s="402">
        <v>276216</v>
      </c>
    </row>
    <row r="717" spans="1:14" s="20" customFormat="1" ht="15.75">
      <c r="A717" s="253"/>
      <c r="B717" s="231"/>
      <c r="C717" s="32" t="s">
        <v>46</v>
      </c>
      <c r="D717" s="403">
        <v>21020106</v>
      </c>
      <c r="E717" s="404" t="s">
        <v>731</v>
      </c>
      <c r="F717" s="218">
        <v>5545212</v>
      </c>
      <c r="G717" s="402">
        <v>5545212</v>
      </c>
      <c r="H717" s="402"/>
      <c r="I717" s="402"/>
      <c r="J717" s="28">
        <v>5545212</v>
      </c>
      <c r="K717" s="488"/>
      <c r="L717" s="467">
        <v>5545212</v>
      </c>
      <c r="M717" s="402">
        <v>5822473</v>
      </c>
      <c r="N717" s="402">
        <v>6113597</v>
      </c>
    </row>
    <row r="718" spans="1:14" s="20" customFormat="1" ht="15.75">
      <c r="A718" s="253"/>
      <c r="B718" s="231"/>
      <c r="C718" s="32" t="s">
        <v>46</v>
      </c>
      <c r="D718" s="403">
        <v>21020107</v>
      </c>
      <c r="E718" s="404" t="s">
        <v>732</v>
      </c>
      <c r="F718" s="218">
        <v>2592000</v>
      </c>
      <c r="G718" s="402">
        <v>2592000</v>
      </c>
      <c r="H718" s="402"/>
      <c r="I718" s="402"/>
      <c r="J718" s="28">
        <v>2592000</v>
      </c>
      <c r="K718" s="488"/>
      <c r="L718" s="467">
        <v>2592000</v>
      </c>
      <c r="M718" s="402">
        <v>2721600</v>
      </c>
      <c r="N718" s="402">
        <v>2857680</v>
      </c>
    </row>
    <row r="719" spans="1:14" s="20" customFormat="1" ht="15.75">
      <c r="A719" s="253"/>
      <c r="B719" s="231"/>
      <c r="C719" s="32" t="s">
        <v>46</v>
      </c>
      <c r="D719" s="403">
        <v>21020108</v>
      </c>
      <c r="E719" s="404" t="s">
        <v>838</v>
      </c>
      <c r="F719" s="218">
        <v>150000</v>
      </c>
      <c r="G719" s="402">
        <v>150000</v>
      </c>
      <c r="H719" s="402"/>
      <c r="I719" s="402"/>
      <c r="J719" s="28">
        <v>150000</v>
      </c>
      <c r="K719" s="488"/>
      <c r="L719" s="467">
        <v>150000</v>
      </c>
      <c r="M719" s="402">
        <v>157500</v>
      </c>
      <c r="N719" s="402">
        <v>165375</v>
      </c>
    </row>
    <row r="720" spans="1:14" s="20" customFormat="1" ht="15.75">
      <c r="A720" s="253"/>
      <c r="B720" s="231"/>
      <c r="C720" s="32" t="s">
        <v>46</v>
      </c>
      <c r="D720" s="403" t="s">
        <v>886</v>
      </c>
      <c r="E720" s="404" t="s">
        <v>876</v>
      </c>
      <c r="F720" s="218">
        <v>11045916</v>
      </c>
      <c r="G720" s="402">
        <v>11045916</v>
      </c>
      <c r="H720" s="402"/>
      <c r="I720" s="402"/>
      <c r="J720" s="28">
        <v>11045916</v>
      </c>
      <c r="K720" s="488"/>
      <c r="L720" s="467">
        <v>11045916</v>
      </c>
      <c r="M720" s="402">
        <v>11598212</v>
      </c>
      <c r="N720" s="402">
        <v>12178123</v>
      </c>
    </row>
    <row r="721" spans="1:14" s="20" customFormat="1">
      <c r="A721" s="238"/>
      <c r="B721" s="231"/>
      <c r="C721" s="30" t="s">
        <v>1836</v>
      </c>
      <c r="D721" s="23"/>
      <c r="E721" s="25"/>
      <c r="F721" s="137">
        <f>SUM(F711:F720)</f>
        <v>99805620</v>
      </c>
      <c r="G721" s="114">
        <f>SUM(G711:G720)</f>
        <v>99805620</v>
      </c>
      <c r="H721" s="114">
        <f t="shared" ref="H721:I721" si="143">SUM(H711:H720)</f>
        <v>0</v>
      </c>
      <c r="I721" s="114">
        <f t="shared" si="143"/>
        <v>0</v>
      </c>
      <c r="J721" s="114">
        <f>SUM(J711:J720)</f>
        <v>99805620</v>
      </c>
      <c r="K721" s="490"/>
      <c r="L721" s="468">
        <f>SUM(L711:L720)</f>
        <v>99805620</v>
      </c>
      <c r="M721" s="114">
        <f>SUM(M711:M720)</f>
        <v>104795902</v>
      </c>
      <c r="N721" s="114">
        <f>SUM(N711:N720)</f>
        <v>110035699</v>
      </c>
    </row>
    <row r="722" spans="1:14" s="20" customFormat="1">
      <c r="A722" s="253"/>
      <c r="B722" s="231"/>
      <c r="C722" s="32" t="s">
        <v>47</v>
      </c>
      <c r="D722" s="77">
        <v>22020105</v>
      </c>
      <c r="E722" s="135" t="s">
        <v>1733</v>
      </c>
      <c r="F722" s="136">
        <v>14170000</v>
      </c>
      <c r="G722" s="28">
        <v>14170000</v>
      </c>
      <c r="H722" s="28"/>
      <c r="I722" s="28"/>
      <c r="J722" s="28">
        <v>14170000</v>
      </c>
      <c r="K722" s="488">
        <f>J722*4.38%</f>
        <v>620646</v>
      </c>
      <c r="L722" s="469">
        <v>13549354</v>
      </c>
      <c r="M722" s="28">
        <v>14170000</v>
      </c>
      <c r="N722" s="28">
        <v>14170000</v>
      </c>
    </row>
    <row r="723" spans="1:14" s="20" customFormat="1">
      <c r="A723" s="253"/>
      <c r="B723" s="231"/>
      <c r="C723" s="32" t="s">
        <v>47</v>
      </c>
      <c r="D723" s="77">
        <v>22020301</v>
      </c>
      <c r="E723" s="135" t="s">
        <v>737</v>
      </c>
      <c r="F723" s="136">
        <v>2321500</v>
      </c>
      <c r="G723" s="28">
        <v>2321500</v>
      </c>
      <c r="H723" s="28"/>
      <c r="I723" s="28"/>
      <c r="J723" s="28">
        <v>2321500</v>
      </c>
      <c r="K723" s="488">
        <f t="shared" ref="K723:K735" si="144">J723*4.38%</f>
        <v>101681.7</v>
      </c>
      <c r="L723" s="469">
        <v>2219818.3000000003</v>
      </c>
      <c r="M723" s="28">
        <v>2321500</v>
      </c>
      <c r="N723" s="28">
        <v>2321500</v>
      </c>
    </row>
    <row r="724" spans="1:14" s="20" customFormat="1">
      <c r="A724" s="253"/>
      <c r="B724" s="231"/>
      <c r="C724" s="32" t="s">
        <v>47</v>
      </c>
      <c r="D724" s="77">
        <v>22020305</v>
      </c>
      <c r="E724" s="135" t="s">
        <v>755</v>
      </c>
      <c r="F724" s="136">
        <v>5286600</v>
      </c>
      <c r="G724" s="28">
        <v>5286600</v>
      </c>
      <c r="H724" s="28"/>
      <c r="I724" s="28"/>
      <c r="J724" s="28">
        <v>5286600</v>
      </c>
      <c r="K724" s="488">
        <f t="shared" si="144"/>
        <v>231553.08</v>
      </c>
      <c r="L724" s="469">
        <v>5055046.92</v>
      </c>
      <c r="M724" s="28">
        <v>7286600</v>
      </c>
      <c r="N724" s="28">
        <v>7286600</v>
      </c>
    </row>
    <row r="725" spans="1:14" s="20" customFormat="1">
      <c r="A725" s="253"/>
      <c r="B725" s="231"/>
      <c r="C725" s="32" t="s">
        <v>47</v>
      </c>
      <c r="D725" s="77">
        <v>22020315</v>
      </c>
      <c r="E725" s="135" t="s">
        <v>740</v>
      </c>
      <c r="F725" s="136">
        <v>2060500</v>
      </c>
      <c r="G725" s="28">
        <v>2060500</v>
      </c>
      <c r="H725" s="28"/>
      <c r="I725" s="28"/>
      <c r="J725" s="28">
        <v>2060500</v>
      </c>
      <c r="K725" s="488">
        <f t="shared" si="144"/>
        <v>90249.9</v>
      </c>
      <c r="L725" s="469">
        <v>1970250.1</v>
      </c>
      <c r="M725" s="28">
        <v>2060500</v>
      </c>
      <c r="N725" s="28">
        <v>2060500</v>
      </c>
    </row>
    <row r="726" spans="1:14" s="20" customFormat="1">
      <c r="A726" s="253"/>
      <c r="B726" s="231"/>
      <c r="C726" s="32" t="s">
        <v>47</v>
      </c>
      <c r="D726" s="77">
        <v>22020401</v>
      </c>
      <c r="E726" s="135" t="s">
        <v>1728</v>
      </c>
      <c r="F726" s="136">
        <v>790000</v>
      </c>
      <c r="G726" s="28">
        <v>790000</v>
      </c>
      <c r="H726" s="28"/>
      <c r="I726" s="28"/>
      <c r="J726" s="28">
        <v>790000</v>
      </c>
      <c r="K726" s="488">
        <f t="shared" si="144"/>
        <v>34602</v>
      </c>
      <c r="L726" s="469">
        <v>755398</v>
      </c>
      <c r="M726" s="28">
        <v>790000</v>
      </c>
      <c r="N726" s="28">
        <v>790000</v>
      </c>
    </row>
    <row r="727" spans="1:14" s="20" customFormat="1">
      <c r="A727" s="253"/>
      <c r="B727" s="231"/>
      <c r="C727" s="32" t="s">
        <v>47</v>
      </c>
      <c r="D727" s="77">
        <v>22020402</v>
      </c>
      <c r="E727" s="135" t="s">
        <v>757</v>
      </c>
      <c r="F727" s="136">
        <v>500000</v>
      </c>
      <c r="G727" s="28">
        <v>500000</v>
      </c>
      <c r="H727" s="28"/>
      <c r="I727" s="28"/>
      <c r="J727" s="28">
        <v>500000</v>
      </c>
      <c r="K727" s="488">
        <f t="shared" si="144"/>
        <v>21900</v>
      </c>
      <c r="L727" s="469">
        <v>478100</v>
      </c>
      <c r="M727" s="28">
        <v>500000</v>
      </c>
      <c r="N727" s="28">
        <v>500000</v>
      </c>
    </row>
    <row r="728" spans="1:14" s="20" customFormat="1">
      <c r="A728" s="253"/>
      <c r="B728" s="231"/>
      <c r="C728" s="32" t="s">
        <v>47</v>
      </c>
      <c r="D728" s="77">
        <v>22020404</v>
      </c>
      <c r="E728" s="135" t="s">
        <v>742</v>
      </c>
      <c r="F728" s="136">
        <v>188000</v>
      </c>
      <c r="G728" s="28">
        <v>188000</v>
      </c>
      <c r="H728" s="28"/>
      <c r="I728" s="28"/>
      <c r="J728" s="28">
        <v>188000</v>
      </c>
      <c r="K728" s="488">
        <f t="shared" si="144"/>
        <v>8234.4</v>
      </c>
      <c r="L728" s="469">
        <v>179765.6</v>
      </c>
      <c r="M728" s="28">
        <v>188000</v>
      </c>
      <c r="N728" s="28">
        <v>188000</v>
      </c>
    </row>
    <row r="729" spans="1:14" s="20" customFormat="1">
      <c r="A729" s="253"/>
      <c r="B729" s="231"/>
      <c r="C729" s="32" t="s">
        <v>47</v>
      </c>
      <c r="D729" s="77">
        <v>22020405</v>
      </c>
      <c r="E729" s="135" t="s">
        <v>743</v>
      </c>
      <c r="F729" s="136">
        <v>480000</v>
      </c>
      <c r="G729" s="28">
        <v>480000</v>
      </c>
      <c r="H729" s="28"/>
      <c r="I729" s="28"/>
      <c r="J729" s="28">
        <v>480000</v>
      </c>
      <c r="K729" s="488">
        <f t="shared" si="144"/>
        <v>21024</v>
      </c>
      <c r="L729" s="469">
        <v>458976</v>
      </c>
      <c r="M729" s="28">
        <v>480000</v>
      </c>
      <c r="N729" s="28">
        <v>480000</v>
      </c>
    </row>
    <row r="730" spans="1:14" s="20" customFormat="1">
      <c r="A730" s="253"/>
      <c r="B730" s="231"/>
      <c r="C730" s="32" t="s">
        <v>47</v>
      </c>
      <c r="D730" s="77">
        <v>22020414</v>
      </c>
      <c r="E730" s="135" t="s">
        <v>877</v>
      </c>
      <c r="F730" s="136">
        <v>1020000</v>
      </c>
      <c r="G730" s="28">
        <v>1020000</v>
      </c>
      <c r="H730" s="28"/>
      <c r="I730" s="28"/>
      <c r="J730" s="28">
        <v>1020000</v>
      </c>
      <c r="K730" s="488">
        <f t="shared" si="144"/>
        <v>44676</v>
      </c>
      <c r="L730" s="469">
        <v>975324</v>
      </c>
      <c r="M730" s="28">
        <v>1020000</v>
      </c>
      <c r="N730" s="28">
        <v>1020000</v>
      </c>
    </row>
    <row r="731" spans="1:14" s="20" customFormat="1">
      <c r="A731" s="253"/>
      <c r="B731" s="231"/>
      <c r="C731" s="32" t="s">
        <v>47</v>
      </c>
      <c r="D731" s="77">
        <v>22020605</v>
      </c>
      <c r="E731" s="135" t="s">
        <v>768</v>
      </c>
      <c r="F731" s="136">
        <v>135000</v>
      </c>
      <c r="G731" s="28">
        <v>135000</v>
      </c>
      <c r="H731" s="28"/>
      <c r="I731" s="28"/>
      <c r="J731" s="28">
        <v>135000</v>
      </c>
      <c r="K731" s="488">
        <f t="shared" si="144"/>
        <v>5913</v>
      </c>
      <c r="L731" s="469">
        <v>129087</v>
      </c>
      <c r="M731" s="28">
        <v>135000</v>
      </c>
      <c r="N731" s="28">
        <v>135000</v>
      </c>
    </row>
    <row r="732" spans="1:14" s="20" customFormat="1">
      <c r="A732" s="253"/>
      <c r="B732" s="231"/>
      <c r="C732" s="32" t="s">
        <v>47</v>
      </c>
      <c r="D732" s="77">
        <v>22020801</v>
      </c>
      <c r="E732" s="135" t="s">
        <v>747</v>
      </c>
      <c r="F732" s="136">
        <v>1450000</v>
      </c>
      <c r="G732" s="28">
        <v>1450000</v>
      </c>
      <c r="H732" s="28"/>
      <c r="I732" s="28"/>
      <c r="J732" s="28">
        <v>1450000</v>
      </c>
      <c r="K732" s="488">
        <f t="shared" si="144"/>
        <v>63510</v>
      </c>
      <c r="L732" s="469">
        <v>1386490</v>
      </c>
      <c r="M732" s="28">
        <v>1450000</v>
      </c>
      <c r="N732" s="28">
        <v>1450000</v>
      </c>
    </row>
    <row r="733" spans="1:14" s="20" customFormat="1">
      <c r="A733" s="253"/>
      <c r="B733" s="231"/>
      <c r="C733" s="32" t="s">
        <v>47</v>
      </c>
      <c r="D733" s="77">
        <v>22020803</v>
      </c>
      <c r="E733" s="135" t="s">
        <v>748</v>
      </c>
      <c r="F733" s="136">
        <v>1279200</v>
      </c>
      <c r="G733" s="28">
        <v>1279200</v>
      </c>
      <c r="H733" s="28"/>
      <c r="I733" s="28"/>
      <c r="J733" s="28">
        <v>1279200</v>
      </c>
      <c r="K733" s="488">
        <f t="shared" si="144"/>
        <v>56028.959999999999</v>
      </c>
      <c r="L733" s="469">
        <v>1223171.04</v>
      </c>
      <c r="M733" s="28">
        <v>1279200</v>
      </c>
      <c r="N733" s="28">
        <v>1279200</v>
      </c>
    </row>
    <row r="734" spans="1:14" s="20" customFormat="1">
      <c r="A734" s="253"/>
      <c r="B734" s="231"/>
      <c r="C734" s="32" t="s">
        <v>47</v>
      </c>
      <c r="D734" s="77">
        <v>22020901</v>
      </c>
      <c r="E734" s="135" t="s">
        <v>749</v>
      </c>
      <c r="F734" s="136">
        <v>60000</v>
      </c>
      <c r="G734" s="28">
        <v>60000</v>
      </c>
      <c r="H734" s="28"/>
      <c r="I734" s="28"/>
      <c r="J734" s="28">
        <v>60000</v>
      </c>
      <c r="K734" s="488">
        <f t="shared" si="144"/>
        <v>2628</v>
      </c>
      <c r="L734" s="469">
        <v>57372</v>
      </c>
      <c r="M734" s="28">
        <v>60000</v>
      </c>
      <c r="N734" s="28">
        <v>60000</v>
      </c>
    </row>
    <row r="735" spans="1:14" s="20" customFormat="1">
      <c r="A735" s="253"/>
      <c r="B735" s="231"/>
      <c r="C735" s="32" t="s">
        <v>47</v>
      </c>
      <c r="D735" s="77">
        <v>22021001</v>
      </c>
      <c r="E735" s="135" t="s">
        <v>772</v>
      </c>
      <c r="F735" s="136">
        <v>1210750</v>
      </c>
      <c r="G735" s="28">
        <f>1210750+15000</f>
        <v>1225750</v>
      </c>
      <c r="H735" s="28"/>
      <c r="I735" s="28"/>
      <c r="J735" s="28">
        <v>1225750</v>
      </c>
      <c r="K735" s="488">
        <f t="shared" si="144"/>
        <v>53687.85</v>
      </c>
      <c r="L735" s="469">
        <v>1172062.1500000001</v>
      </c>
      <c r="M735" s="28">
        <v>1210750</v>
      </c>
      <c r="N735" s="28">
        <v>1210750</v>
      </c>
    </row>
    <row r="736" spans="1:14" s="20" customFormat="1">
      <c r="A736" s="238"/>
      <c r="B736" s="231"/>
      <c r="C736" s="30" t="s">
        <v>1837</v>
      </c>
      <c r="D736" s="23"/>
      <c r="E736" s="25"/>
      <c r="F736" s="137">
        <f>SUM(F722:F735)</f>
        <v>30951550</v>
      </c>
      <c r="G736" s="114">
        <f>SUM(G722:G735)</f>
        <v>30966550</v>
      </c>
      <c r="H736" s="114">
        <f t="shared" ref="H736:I736" si="145">SUM(H722:H735)</f>
        <v>0</v>
      </c>
      <c r="I736" s="114">
        <f t="shared" si="145"/>
        <v>0</v>
      </c>
      <c r="J736" s="114">
        <f>SUM(J722:J735)</f>
        <v>30966550</v>
      </c>
      <c r="K736" s="490">
        <f>SUM(K722:K735)</f>
        <v>1356334.89</v>
      </c>
      <c r="L736" s="468">
        <f>SUM(L722:L735)</f>
        <v>29610215.109999999</v>
      </c>
      <c r="M736" s="114">
        <f>SUM(M722:M735)</f>
        <v>32951550</v>
      </c>
      <c r="N736" s="114">
        <f>SUM(N722:N735)</f>
        <v>32951550</v>
      </c>
    </row>
    <row r="737" spans="1:14" s="66" customFormat="1" ht="30">
      <c r="A737" s="238" t="s">
        <v>885</v>
      </c>
      <c r="B737" s="231" t="s">
        <v>1867</v>
      </c>
      <c r="C737" s="30"/>
      <c r="D737" s="23"/>
      <c r="E737" s="25"/>
      <c r="F737" s="137">
        <f>F736+F721</f>
        <v>130757170</v>
      </c>
      <c r="G737" s="114">
        <f>G736+G721</f>
        <v>130772170</v>
      </c>
      <c r="H737" s="114">
        <f t="shared" ref="H737:I737" si="146">H736+H721</f>
        <v>0</v>
      </c>
      <c r="I737" s="114">
        <f t="shared" si="146"/>
        <v>0</v>
      </c>
      <c r="J737" s="114">
        <f>J736+J721</f>
        <v>130772170</v>
      </c>
      <c r="K737" s="490"/>
      <c r="L737" s="468">
        <f>L736+L721</f>
        <v>129415835.11</v>
      </c>
      <c r="M737" s="114">
        <f>M736+M721</f>
        <v>137747452</v>
      </c>
      <c r="N737" s="114">
        <f>N736+N721</f>
        <v>142987249</v>
      </c>
    </row>
    <row r="738" spans="1:14" s="20" customFormat="1" ht="21">
      <c r="A738" s="252"/>
      <c r="B738" s="443"/>
      <c r="C738" s="228"/>
      <c r="D738" s="229"/>
      <c r="E738" s="230"/>
      <c r="F738" s="215"/>
      <c r="G738" s="296"/>
      <c r="H738" s="296"/>
      <c r="I738" s="296"/>
      <c r="J738" s="28"/>
      <c r="K738" s="488"/>
      <c r="L738" s="468"/>
      <c r="M738" s="296"/>
      <c r="N738" s="296"/>
    </row>
    <row r="739" spans="1:14" s="20" customFormat="1" ht="16.5" customHeight="1">
      <c r="A739" s="238" t="s">
        <v>887</v>
      </c>
      <c r="B739" s="231" t="s">
        <v>151</v>
      </c>
      <c r="C739" s="32" t="s">
        <v>46</v>
      </c>
      <c r="D739" s="77">
        <v>21010101</v>
      </c>
      <c r="E739" s="135" t="s">
        <v>725</v>
      </c>
      <c r="F739" s="219">
        <v>19050800.52</v>
      </c>
      <c r="G739" s="297">
        <v>19050800.52</v>
      </c>
      <c r="H739" s="297"/>
      <c r="I739" s="297"/>
      <c r="J739" s="28">
        <v>19050800.52</v>
      </c>
      <c r="K739" s="488"/>
      <c r="L739" s="467">
        <v>19050800.52</v>
      </c>
      <c r="M739" s="297">
        <v>19258783.559999999</v>
      </c>
      <c r="N739" s="297">
        <v>17926727.039999999</v>
      </c>
    </row>
    <row r="740" spans="1:14" s="20" customFormat="1">
      <c r="A740" s="253"/>
      <c r="B740" s="231"/>
      <c r="C740" s="32" t="s">
        <v>46</v>
      </c>
      <c r="D740" s="77">
        <v>21020101</v>
      </c>
      <c r="E740" s="135" t="s">
        <v>726</v>
      </c>
      <c r="F740" s="219">
        <v>4750088.5199999996</v>
      </c>
      <c r="G740" s="297">
        <v>4750088.5199999996</v>
      </c>
      <c r="H740" s="297"/>
      <c r="I740" s="297"/>
      <c r="J740" s="28">
        <v>4750088.5199999996</v>
      </c>
      <c r="K740" s="488"/>
      <c r="L740" s="467">
        <v>4750088.5199999996</v>
      </c>
      <c r="M740" s="297">
        <v>4804528.92</v>
      </c>
      <c r="N740" s="297">
        <v>4414146.4800000004</v>
      </c>
    </row>
    <row r="741" spans="1:14" s="20" customFormat="1">
      <c r="A741" s="253"/>
      <c r="B741" s="231"/>
      <c r="C741" s="32" t="s">
        <v>46</v>
      </c>
      <c r="D741" s="77">
        <v>21020102</v>
      </c>
      <c r="E741" s="135" t="s">
        <v>727</v>
      </c>
      <c r="F741" s="219">
        <v>1900035.12</v>
      </c>
      <c r="G741" s="297">
        <v>1900035.12</v>
      </c>
      <c r="H741" s="297"/>
      <c r="I741" s="297"/>
      <c r="J741" s="28">
        <v>1900035.12</v>
      </c>
      <c r="K741" s="488"/>
      <c r="L741" s="467">
        <v>1900035.12</v>
      </c>
      <c r="M741" s="297">
        <v>1921811.76</v>
      </c>
      <c r="N741" s="297">
        <v>1752458.28</v>
      </c>
    </row>
    <row r="742" spans="1:14" s="20" customFormat="1">
      <c r="A742" s="253"/>
      <c r="B742" s="231"/>
      <c r="C742" s="32" t="s">
        <v>46</v>
      </c>
      <c r="D742" s="77">
        <v>21020103</v>
      </c>
      <c r="E742" s="135" t="s">
        <v>728</v>
      </c>
      <c r="F742" s="219">
        <v>950018.04</v>
      </c>
      <c r="G742" s="297">
        <v>950018.04</v>
      </c>
      <c r="H742" s="297"/>
      <c r="I742" s="297"/>
      <c r="J742" s="28">
        <v>950018.04</v>
      </c>
      <c r="K742" s="488"/>
      <c r="L742" s="467">
        <v>950018.04</v>
      </c>
      <c r="M742" s="297">
        <v>960905.64</v>
      </c>
      <c r="N742" s="297">
        <v>881451.36</v>
      </c>
    </row>
    <row r="743" spans="1:14" s="20" customFormat="1">
      <c r="A743" s="253"/>
      <c r="B743" s="231"/>
      <c r="C743" s="32" t="s">
        <v>46</v>
      </c>
      <c r="D743" s="77">
        <v>21020104</v>
      </c>
      <c r="E743" s="135" t="s">
        <v>729</v>
      </c>
      <c r="F743" s="219">
        <v>950018.04</v>
      </c>
      <c r="G743" s="297">
        <v>950018.04</v>
      </c>
      <c r="H743" s="297"/>
      <c r="I743" s="297"/>
      <c r="J743" s="28">
        <v>950018.04</v>
      </c>
      <c r="K743" s="488"/>
      <c r="L743" s="467">
        <v>950018.04</v>
      </c>
      <c r="M743" s="297">
        <v>960905.64</v>
      </c>
      <c r="N743" s="297">
        <v>881451.36</v>
      </c>
    </row>
    <row r="744" spans="1:14" s="20" customFormat="1">
      <c r="A744" s="253"/>
      <c r="B744" s="231"/>
      <c r="C744" s="32" t="s">
        <v>46</v>
      </c>
      <c r="D744" s="77">
        <v>21020105</v>
      </c>
      <c r="E744" s="135" t="s">
        <v>888</v>
      </c>
      <c r="F744" s="219">
        <v>134994</v>
      </c>
      <c r="G744" s="297">
        <v>134994</v>
      </c>
      <c r="H744" s="297"/>
      <c r="I744" s="297"/>
      <c r="J744" s="28">
        <v>134994</v>
      </c>
      <c r="K744" s="488"/>
      <c r="L744" s="467">
        <v>134994</v>
      </c>
      <c r="M744" s="297">
        <v>141234.35999999999</v>
      </c>
      <c r="N744" s="297">
        <v>172573.2</v>
      </c>
    </row>
    <row r="745" spans="1:14" s="20" customFormat="1">
      <c r="A745" s="253"/>
      <c r="B745" s="231"/>
      <c r="C745" s="32" t="s">
        <v>46</v>
      </c>
      <c r="D745" s="77">
        <v>21020106</v>
      </c>
      <c r="E745" s="135" t="s">
        <v>731</v>
      </c>
      <c r="F745" s="138">
        <v>1905080.05</v>
      </c>
      <c r="G745" s="297">
        <v>1905080.05</v>
      </c>
      <c r="H745" s="297"/>
      <c r="I745" s="297"/>
      <c r="J745" s="28">
        <v>1905080.05</v>
      </c>
      <c r="K745" s="488"/>
      <c r="L745" s="467">
        <v>1905080.05</v>
      </c>
      <c r="M745" s="297">
        <v>1925878.36</v>
      </c>
      <c r="N745" s="297">
        <v>1792672.7</v>
      </c>
    </row>
    <row r="746" spans="1:14" s="20" customFormat="1">
      <c r="A746" s="253"/>
      <c r="B746" s="231"/>
      <c r="C746" s="32" t="s">
        <v>46</v>
      </c>
      <c r="D746" s="77">
        <v>21020107</v>
      </c>
      <c r="E746" s="135" t="s">
        <v>732</v>
      </c>
      <c r="F746" s="219">
        <v>1296000</v>
      </c>
      <c r="G746" s="297">
        <v>1296000</v>
      </c>
      <c r="H746" s="297"/>
      <c r="I746" s="297"/>
      <c r="J746" s="28">
        <v>1296000</v>
      </c>
      <c r="K746" s="488"/>
      <c r="L746" s="467">
        <v>1296000</v>
      </c>
      <c r="M746" s="297">
        <v>1296000</v>
      </c>
      <c r="N746" s="297">
        <v>1512000</v>
      </c>
    </row>
    <row r="747" spans="1:14" s="20" customFormat="1">
      <c r="A747" s="238"/>
      <c r="B747" s="231"/>
      <c r="C747" s="30" t="s">
        <v>1836</v>
      </c>
      <c r="D747" s="23"/>
      <c r="E747" s="25"/>
      <c r="F747" s="137">
        <f>SUM(F739:F746)</f>
        <v>30937034.289999999</v>
      </c>
      <c r="G747" s="114">
        <f>SUM(G739:G746)</f>
        <v>30937034.289999999</v>
      </c>
      <c r="H747" s="114">
        <f t="shared" ref="H747:I747" si="147">SUM(H739:H746)</f>
        <v>0</v>
      </c>
      <c r="I747" s="114">
        <f t="shared" si="147"/>
        <v>0</v>
      </c>
      <c r="J747" s="114">
        <f>SUM(J739:J746)</f>
        <v>30937034.289999999</v>
      </c>
      <c r="K747" s="490"/>
      <c r="L747" s="468">
        <f>SUM(L739:L746)</f>
        <v>30937034.289999999</v>
      </c>
      <c r="M747" s="114">
        <f>SUM(M739:M746)</f>
        <v>31270048.239999998</v>
      </c>
      <c r="N747" s="114">
        <f>SUM(N739:N746)</f>
        <v>29333480.419999998</v>
      </c>
    </row>
    <row r="748" spans="1:14" s="20" customFormat="1">
      <c r="A748" s="253"/>
      <c r="B748" s="231"/>
      <c r="C748" s="32" t="s">
        <v>47</v>
      </c>
      <c r="D748" s="77">
        <v>21020111</v>
      </c>
      <c r="E748" s="135" t="s">
        <v>1730</v>
      </c>
      <c r="F748" s="136">
        <v>21000</v>
      </c>
      <c r="G748" s="28">
        <v>21000</v>
      </c>
      <c r="H748" s="28"/>
      <c r="I748" s="28"/>
      <c r="J748" s="28">
        <v>21000</v>
      </c>
      <c r="K748" s="488">
        <f>J748*4.38%</f>
        <v>919.8</v>
      </c>
      <c r="L748" s="469">
        <v>20080.2</v>
      </c>
      <c r="M748" s="28">
        <v>21000</v>
      </c>
      <c r="N748" s="28">
        <v>21000</v>
      </c>
    </row>
    <row r="749" spans="1:14" s="20" customFormat="1">
      <c r="A749" s="253"/>
      <c r="B749" s="231"/>
      <c r="C749" s="32" t="s">
        <v>47</v>
      </c>
      <c r="D749" s="77">
        <v>22020301</v>
      </c>
      <c r="E749" s="135" t="s">
        <v>737</v>
      </c>
      <c r="F749" s="136">
        <v>212100</v>
      </c>
      <c r="G749" s="28">
        <v>212100</v>
      </c>
      <c r="H749" s="28"/>
      <c r="I749" s="28"/>
      <c r="J749" s="28">
        <v>212100</v>
      </c>
      <c r="K749" s="488">
        <f t="shared" ref="K749:K760" si="148">J749*4.38%</f>
        <v>9289.98</v>
      </c>
      <c r="L749" s="469">
        <v>202810.02000000002</v>
      </c>
      <c r="M749" s="28">
        <v>212100</v>
      </c>
      <c r="N749" s="28">
        <v>212100</v>
      </c>
    </row>
    <row r="750" spans="1:14" s="20" customFormat="1">
      <c r="A750" s="253"/>
      <c r="B750" s="231"/>
      <c r="C750" s="32" t="s">
        <v>47</v>
      </c>
      <c r="D750" s="77">
        <v>22020305</v>
      </c>
      <c r="E750" s="135" t="s">
        <v>755</v>
      </c>
      <c r="F750" s="136">
        <v>300000</v>
      </c>
      <c r="G750" s="28">
        <v>200000</v>
      </c>
      <c r="H750" s="28"/>
      <c r="I750" s="28"/>
      <c r="J750" s="28">
        <v>200000</v>
      </c>
      <c r="K750" s="488">
        <f t="shared" si="148"/>
        <v>8760</v>
      </c>
      <c r="L750" s="469">
        <v>191240</v>
      </c>
      <c r="M750" s="28">
        <v>675000</v>
      </c>
      <c r="N750" s="28">
        <v>675000</v>
      </c>
    </row>
    <row r="751" spans="1:14" s="20" customFormat="1">
      <c r="A751" s="253"/>
      <c r="B751" s="231"/>
      <c r="C751" s="32" t="s">
        <v>47</v>
      </c>
      <c r="D751" s="77">
        <v>22020315</v>
      </c>
      <c r="E751" s="135" t="s">
        <v>740</v>
      </c>
      <c r="F751" s="136">
        <v>295000</v>
      </c>
      <c r="G751" s="28">
        <v>295000</v>
      </c>
      <c r="H751" s="28"/>
      <c r="I751" s="28"/>
      <c r="J751" s="28">
        <v>295000</v>
      </c>
      <c r="K751" s="488">
        <f t="shared" si="148"/>
        <v>12921</v>
      </c>
      <c r="L751" s="469">
        <v>282079</v>
      </c>
      <c r="M751" s="28">
        <v>295000</v>
      </c>
      <c r="N751" s="28">
        <v>295000</v>
      </c>
    </row>
    <row r="752" spans="1:14" s="20" customFormat="1">
      <c r="A752" s="253"/>
      <c r="B752" s="231"/>
      <c r="C752" s="32" t="s">
        <v>47</v>
      </c>
      <c r="D752" s="77">
        <v>22020401</v>
      </c>
      <c r="E752" s="135" t="s">
        <v>741</v>
      </c>
      <c r="F752" s="136">
        <v>385200</v>
      </c>
      <c r="G752" s="28">
        <v>285200</v>
      </c>
      <c r="H752" s="28"/>
      <c r="I752" s="28"/>
      <c r="J752" s="28">
        <v>285200</v>
      </c>
      <c r="K752" s="488">
        <f t="shared" si="148"/>
        <v>12491.76</v>
      </c>
      <c r="L752" s="469">
        <v>272708.24</v>
      </c>
      <c r="M752" s="28">
        <v>385200</v>
      </c>
      <c r="N752" s="28">
        <v>385200</v>
      </c>
    </row>
    <row r="753" spans="1:14" s="20" customFormat="1">
      <c r="A753" s="253"/>
      <c r="B753" s="231"/>
      <c r="C753" s="32" t="s">
        <v>47</v>
      </c>
      <c r="D753" s="77">
        <v>22020405</v>
      </c>
      <c r="E753" s="135" t="s">
        <v>743</v>
      </c>
      <c r="F753" s="136">
        <v>232000</v>
      </c>
      <c r="G753" s="28">
        <v>232000</v>
      </c>
      <c r="H753" s="28"/>
      <c r="I753" s="28"/>
      <c r="J753" s="28">
        <v>232000</v>
      </c>
      <c r="K753" s="488">
        <f t="shared" si="148"/>
        <v>10161.6</v>
      </c>
      <c r="L753" s="469">
        <v>221838.40000000002</v>
      </c>
      <c r="M753" s="28">
        <v>232000</v>
      </c>
      <c r="N753" s="28">
        <v>232000</v>
      </c>
    </row>
    <row r="754" spans="1:14" s="20" customFormat="1">
      <c r="A754" s="253"/>
      <c r="B754" s="231"/>
      <c r="C754" s="32" t="s">
        <v>47</v>
      </c>
      <c r="D754" s="77">
        <v>22020416</v>
      </c>
      <c r="E754" s="135" t="s">
        <v>782</v>
      </c>
      <c r="F754" s="136">
        <v>15600</v>
      </c>
      <c r="G754" s="28">
        <v>15600</v>
      </c>
      <c r="H754" s="28"/>
      <c r="I754" s="28"/>
      <c r="J754" s="28">
        <v>15600</v>
      </c>
      <c r="K754" s="488">
        <f t="shared" si="148"/>
        <v>683.28</v>
      </c>
      <c r="L754" s="469">
        <v>14916.720000000001</v>
      </c>
      <c r="M754" s="28">
        <v>15600</v>
      </c>
      <c r="N754" s="28">
        <v>15600</v>
      </c>
    </row>
    <row r="755" spans="1:14" s="20" customFormat="1">
      <c r="A755" s="253"/>
      <c r="B755" s="231"/>
      <c r="C755" s="32" t="s">
        <v>47</v>
      </c>
      <c r="D755" s="77">
        <v>22020605</v>
      </c>
      <c r="E755" s="135" t="s">
        <v>768</v>
      </c>
      <c r="F755" s="136">
        <v>81000</v>
      </c>
      <c r="G755" s="28">
        <v>81000</v>
      </c>
      <c r="H755" s="28"/>
      <c r="I755" s="28"/>
      <c r="J755" s="28">
        <v>81000</v>
      </c>
      <c r="K755" s="488">
        <f t="shared" si="148"/>
        <v>3547.7999999999997</v>
      </c>
      <c r="L755" s="469">
        <v>77452.2</v>
      </c>
      <c r="M755" s="28">
        <v>62500</v>
      </c>
      <c r="N755" s="28">
        <v>62500</v>
      </c>
    </row>
    <row r="756" spans="1:14" s="20" customFormat="1">
      <c r="A756" s="253"/>
      <c r="B756" s="231"/>
      <c r="C756" s="32" t="s">
        <v>47</v>
      </c>
      <c r="D756" s="77">
        <v>22020709</v>
      </c>
      <c r="E756" s="135" t="s">
        <v>771</v>
      </c>
      <c r="F756" s="136">
        <v>600000</v>
      </c>
      <c r="G756" s="28">
        <v>400000</v>
      </c>
      <c r="H756" s="28"/>
      <c r="I756" s="28"/>
      <c r="J756" s="28">
        <v>400000</v>
      </c>
      <c r="K756" s="488">
        <f t="shared" si="148"/>
        <v>17520</v>
      </c>
      <c r="L756" s="469">
        <v>382480</v>
      </c>
      <c r="M756" s="28">
        <v>715000</v>
      </c>
      <c r="N756" s="28">
        <v>715000</v>
      </c>
    </row>
    <row r="757" spans="1:14" s="20" customFormat="1">
      <c r="A757" s="253"/>
      <c r="B757" s="231"/>
      <c r="C757" s="32" t="s">
        <v>47</v>
      </c>
      <c r="D757" s="77">
        <v>22020801</v>
      </c>
      <c r="E757" s="135" t="s">
        <v>747</v>
      </c>
      <c r="F757" s="136">
        <v>612000</v>
      </c>
      <c r="G757" s="28">
        <f>612000-296200</f>
        <v>315800</v>
      </c>
      <c r="H757" s="28"/>
      <c r="I757" s="28"/>
      <c r="J757" s="28">
        <v>315800</v>
      </c>
      <c r="K757" s="488">
        <f t="shared" si="148"/>
        <v>13832.039999999999</v>
      </c>
      <c r="L757" s="469">
        <v>301967.96000000002</v>
      </c>
      <c r="M757" s="28">
        <v>612000</v>
      </c>
      <c r="N757" s="28">
        <v>612000</v>
      </c>
    </row>
    <row r="758" spans="1:14" s="20" customFormat="1">
      <c r="A758" s="253"/>
      <c r="B758" s="231"/>
      <c r="C758" s="32" t="s">
        <v>47</v>
      </c>
      <c r="D758" s="77">
        <v>22020803</v>
      </c>
      <c r="E758" s="135" t="s">
        <v>748</v>
      </c>
      <c r="F758" s="136">
        <v>600000</v>
      </c>
      <c r="G758" s="28">
        <v>300000</v>
      </c>
      <c r="H758" s="28"/>
      <c r="I758" s="28"/>
      <c r="J758" s="28">
        <v>300000</v>
      </c>
      <c r="K758" s="488">
        <f t="shared" si="148"/>
        <v>13140</v>
      </c>
      <c r="L758" s="469">
        <v>286860</v>
      </c>
      <c r="M758" s="28">
        <v>960000</v>
      </c>
      <c r="N758" s="28">
        <v>960000</v>
      </c>
    </row>
    <row r="759" spans="1:14" s="20" customFormat="1">
      <c r="A759" s="253"/>
      <c r="B759" s="231"/>
      <c r="C759" s="32" t="s">
        <v>47</v>
      </c>
      <c r="D759" s="77">
        <v>22021023</v>
      </c>
      <c r="E759" s="135" t="s">
        <v>1705</v>
      </c>
      <c r="F759" s="136">
        <v>15000</v>
      </c>
      <c r="G759" s="28">
        <v>15000</v>
      </c>
      <c r="H759" s="28"/>
      <c r="I759" s="28"/>
      <c r="J759" s="28">
        <v>15000</v>
      </c>
      <c r="K759" s="488">
        <f t="shared" si="148"/>
        <v>657</v>
      </c>
      <c r="L759" s="469">
        <v>14343</v>
      </c>
      <c r="M759" s="28">
        <v>25600</v>
      </c>
      <c r="N759" s="28">
        <v>25600</v>
      </c>
    </row>
    <row r="760" spans="1:14" s="20" customFormat="1">
      <c r="A760" s="253"/>
      <c r="B760" s="231"/>
      <c r="C760" s="32" t="s">
        <v>47</v>
      </c>
      <c r="D760" s="77">
        <v>22021001</v>
      </c>
      <c r="E760" s="135" t="s">
        <v>772</v>
      </c>
      <c r="F760" s="136">
        <v>127300</v>
      </c>
      <c r="G760" s="28">
        <v>127300</v>
      </c>
      <c r="H760" s="28"/>
      <c r="I760" s="28"/>
      <c r="J760" s="28">
        <v>127300</v>
      </c>
      <c r="K760" s="488">
        <f t="shared" si="148"/>
        <v>5575.74</v>
      </c>
      <c r="L760" s="469">
        <v>121724.26000000001</v>
      </c>
      <c r="M760" s="28">
        <v>327300</v>
      </c>
      <c r="N760" s="28">
        <v>327300</v>
      </c>
    </row>
    <row r="761" spans="1:14" s="20" customFormat="1">
      <c r="A761" s="238"/>
      <c r="B761" s="231"/>
      <c r="C761" s="30" t="s">
        <v>1837</v>
      </c>
      <c r="D761" s="23"/>
      <c r="E761" s="25"/>
      <c r="F761" s="137">
        <f>SUM(F748:F760)</f>
        <v>3496200</v>
      </c>
      <c r="G761" s="114">
        <f>SUM(G748:G760)</f>
        <v>2500000</v>
      </c>
      <c r="H761" s="114">
        <f t="shared" ref="H761:I761" si="149">SUM(H748:H760)</f>
        <v>0</v>
      </c>
      <c r="I761" s="114">
        <f t="shared" si="149"/>
        <v>0</v>
      </c>
      <c r="J761" s="114">
        <f>SUM(J748:J760)</f>
        <v>2500000</v>
      </c>
      <c r="K761" s="490">
        <f>SUM(K748:K760)</f>
        <v>109500</v>
      </c>
      <c r="L761" s="468">
        <f>SUM(L748:L760)</f>
        <v>2390500</v>
      </c>
      <c r="M761" s="114">
        <f>SUM(M748:M760)</f>
        <v>4538300</v>
      </c>
      <c r="N761" s="114">
        <f>SUM(N748:N760)</f>
        <v>4538300</v>
      </c>
    </row>
    <row r="762" spans="1:14" s="66" customFormat="1" ht="30">
      <c r="A762" s="238" t="s">
        <v>887</v>
      </c>
      <c r="B762" s="231" t="s">
        <v>1868</v>
      </c>
      <c r="C762" s="30"/>
      <c r="D762" s="23"/>
      <c r="E762" s="25"/>
      <c r="F762" s="137">
        <f>F761+F747</f>
        <v>34433234.289999999</v>
      </c>
      <c r="G762" s="114">
        <f>G761+G747</f>
        <v>33437034.289999999</v>
      </c>
      <c r="H762" s="114">
        <f t="shared" ref="H762:I762" si="150">H761+H747</f>
        <v>0</v>
      </c>
      <c r="I762" s="114">
        <f t="shared" si="150"/>
        <v>0</v>
      </c>
      <c r="J762" s="114">
        <f>J761+J747</f>
        <v>33437034.289999999</v>
      </c>
      <c r="K762" s="490"/>
      <c r="L762" s="468">
        <f>L761+L747</f>
        <v>33327534.289999999</v>
      </c>
      <c r="M762" s="114">
        <f>M761+M747</f>
        <v>35808348.239999995</v>
      </c>
      <c r="N762" s="114">
        <f>N761+N747</f>
        <v>33871780.420000002</v>
      </c>
    </row>
    <row r="763" spans="1:14" s="20" customFormat="1" ht="21">
      <c r="A763" s="252"/>
      <c r="B763" s="443"/>
      <c r="C763" s="228"/>
      <c r="D763" s="229"/>
      <c r="E763" s="230"/>
      <c r="F763" s="215"/>
      <c r="G763" s="296"/>
      <c r="H763" s="296"/>
      <c r="I763" s="296"/>
      <c r="J763" s="28"/>
      <c r="K763" s="488"/>
      <c r="L763" s="468"/>
      <c r="M763" s="296"/>
      <c r="N763" s="296"/>
    </row>
    <row r="764" spans="1:14" s="20" customFormat="1" ht="17.25" customHeight="1">
      <c r="A764" s="238" t="s">
        <v>889</v>
      </c>
      <c r="B764" s="231" t="s">
        <v>134</v>
      </c>
      <c r="C764" s="32" t="s">
        <v>46</v>
      </c>
      <c r="D764" s="77">
        <v>21010101</v>
      </c>
      <c r="E764" s="135" t="s">
        <v>725</v>
      </c>
      <c r="F764" s="138">
        <v>167503717</v>
      </c>
      <c r="G764" s="297">
        <v>237503717</v>
      </c>
      <c r="H764" s="297"/>
      <c r="I764" s="297"/>
      <c r="J764" s="28">
        <v>237503717</v>
      </c>
      <c r="K764" s="488"/>
      <c r="L764" s="467">
        <v>237503717</v>
      </c>
      <c r="M764" s="297">
        <v>267503717</v>
      </c>
      <c r="N764" s="297">
        <v>267503717</v>
      </c>
    </row>
    <row r="765" spans="1:14" s="20" customFormat="1">
      <c r="A765" s="253"/>
      <c r="B765" s="231"/>
      <c r="C765" s="32" t="s">
        <v>46</v>
      </c>
      <c r="D765" s="77">
        <v>21020101</v>
      </c>
      <c r="E765" s="135" t="s">
        <v>726</v>
      </c>
      <c r="F765" s="138">
        <v>35937332</v>
      </c>
      <c r="G765" s="297">
        <v>32937332</v>
      </c>
      <c r="H765" s="297"/>
      <c r="I765" s="297"/>
      <c r="J765" s="28">
        <v>32937332</v>
      </c>
      <c r="K765" s="488"/>
      <c r="L765" s="467">
        <v>32937332</v>
      </c>
      <c r="M765" s="297">
        <v>35937332</v>
      </c>
      <c r="N765" s="297">
        <v>35937332</v>
      </c>
    </row>
    <row r="766" spans="1:14" s="20" customFormat="1">
      <c r="A766" s="253"/>
      <c r="B766" s="231"/>
      <c r="C766" s="32" t="s">
        <v>46</v>
      </c>
      <c r="D766" s="77">
        <v>21020102</v>
      </c>
      <c r="E766" s="135" t="s">
        <v>727</v>
      </c>
      <c r="F766" s="138">
        <v>14294281</v>
      </c>
      <c r="G766" s="297">
        <v>14294281</v>
      </c>
      <c r="H766" s="297"/>
      <c r="I766" s="297"/>
      <c r="J766" s="28">
        <v>14294281</v>
      </c>
      <c r="K766" s="488"/>
      <c r="L766" s="467">
        <v>14294281</v>
      </c>
      <c r="M766" s="297">
        <v>15294281</v>
      </c>
      <c r="N766" s="297">
        <v>15294281</v>
      </c>
    </row>
    <row r="767" spans="1:14" s="20" customFormat="1">
      <c r="A767" s="253"/>
      <c r="B767" s="231"/>
      <c r="C767" s="32" t="s">
        <v>46</v>
      </c>
      <c r="D767" s="77">
        <v>21020103</v>
      </c>
      <c r="E767" s="135" t="s">
        <v>728</v>
      </c>
      <c r="F767" s="138">
        <v>32238379</v>
      </c>
      <c r="G767" s="297">
        <v>81238379</v>
      </c>
      <c r="H767" s="297"/>
      <c r="I767" s="297"/>
      <c r="J767" s="28">
        <v>81238379</v>
      </c>
      <c r="K767" s="488"/>
      <c r="L767" s="467">
        <v>81238379</v>
      </c>
      <c r="M767" s="297">
        <v>82238379</v>
      </c>
      <c r="N767" s="297">
        <v>82238379</v>
      </c>
    </row>
    <row r="768" spans="1:14" s="20" customFormat="1">
      <c r="A768" s="253"/>
      <c r="B768" s="231"/>
      <c r="C768" s="32" t="s">
        <v>46</v>
      </c>
      <c r="D768" s="77">
        <v>21020104</v>
      </c>
      <c r="E768" s="135" t="s">
        <v>729</v>
      </c>
      <c r="F768" s="138">
        <v>32606116</v>
      </c>
      <c r="G768" s="297">
        <v>81606116</v>
      </c>
      <c r="H768" s="297"/>
      <c r="I768" s="297"/>
      <c r="J768" s="28">
        <v>81606116</v>
      </c>
      <c r="K768" s="488"/>
      <c r="L768" s="467">
        <v>81606116</v>
      </c>
      <c r="M768" s="297">
        <v>82606116</v>
      </c>
      <c r="N768" s="297">
        <v>82606116</v>
      </c>
    </row>
    <row r="769" spans="1:14" s="20" customFormat="1">
      <c r="A769" s="253"/>
      <c r="B769" s="231"/>
      <c r="C769" s="32" t="s">
        <v>46</v>
      </c>
      <c r="D769" s="77">
        <v>21020105</v>
      </c>
      <c r="E769" s="135" t="s">
        <v>730</v>
      </c>
      <c r="F769" s="138">
        <v>1917236</v>
      </c>
      <c r="G769" s="297">
        <v>1917236</v>
      </c>
      <c r="H769" s="297"/>
      <c r="I769" s="297"/>
      <c r="J769" s="28">
        <v>1917236</v>
      </c>
      <c r="K769" s="488"/>
      <c r="L769" s="467">
        <v>1917236</v>
      </c>
      <c r="M769" s="297">
        <v>1917236</v>
      </c>
      <c r="N769" s="297">
        <v>1917236</v>
      </c>
    </row>
    <row r="770" spans="1:14" s="20" customFormat="1">
      <c r="A770" s="253"/>
      <c r="B770" s="231"/>
      <c r="C770" s="32" t="s">
        <v>46</v>
      </c>
      <c r="D770" s="77">
        <v>21020106</v>
      </c>
      <c r="E770" s="135" t="s">
        <v>731</v>
      </c>
      <c r="F770" s="138">
        <v>7339942</v>
      </c>
      <c r="G770" s="297">
        <v>23750371.699999999</v>
      </c>
      <c r="H770" s="297"/>
      <c r="I770" s="297"/>
      <c r="J770" s="28">
        <v>23750371.699999999</v>
      </c>
      <c r="K770" s="488"/>
      <c r="L770" s="467">
        <v>23750371.699999999</v>
      </c>
      <c r="M770" s="297">
        <v>8339942</v>
      </c>
      <c r="N770" s="297">
        <v>8339942</v>
      </c>
    </row>
    <row r="771" spans="1:14" s="20" customFormat="1">
      <c r="A771" s="253"/>
      <c r="B771" s="231"/>
      <c r="C771" s="32" t="s">
        <v>46</v>
      </c>
      <c r="D771" s="77">
        <v>21020107</v>
      </c>
      <c r="E771" s="135" t="s">
        <v>732</v>
      </c>
      <c r="F771" s="138">
        <v>3353658</v>
      </c>
      <c r="G771" s="297">
        <v>3353658</v>
      </c>
      <c r="H771" s="297"/>
      <c r="I771" s="297"/>
      <c r="J771" s="28">
        <v>3353658</v>
      </c>
      <c r="K771" s="488"/>
      <c r="L771" s="467">
        <v>3353658</v>
      </c>
      <c r="M771" s="297">
        <v>3353658</v>
      </c>
      <c r="N771" s="297">
        <v>3353658</v>
      </c>
    </row>
    <row r="772" spans="1:14" s="20" customFormat="1">
      <c r="A772" s="253"/>
      <c r="B772" s="231"/>
      <c r="C772" s="32" t="s">
        <v>46</v>
      </c>
      <c r="D772" s="77">
        <v>21020110</v>
      </c>
      <c r="E772" s="135" t="s">
        <v>733</v>
      </c>
      <c r="F772" s="138">
        <v>10827612</v>
      </c>
      <c r="G772" s="297">
        <v>15827612</v>
      </c>
      <c r="H772" s="297"/>
      <c r="I772" s="297"/>
      <c r="J772" s="28">
        <v>15827612</v>
      </c>
      <c r="K772" s="488"/>
      <c r="L772" s="467">
        <v>15827612</v>
      </c>
      <c r="M772" s="297">
        <v>17827612</v>
      </c>
      <c r="N772" s="297">
        <v>17827612</v>
      </c>
    </row>
    <row r="773" spans="1:14" s="20" customFormat="1">
      <c r="A773" s="253"/>
      <c r="B773" s="231"/>
      <c r="C773" s="32" t="s">
        <v>46</v>
      </c>
      <c r="D773" s="77">
        <v>21020118</v>
      </c>
      <c r="E773" s="135" t="s">
        <v>890</v>
      </c>
      <c r="F773" s="138">
        <v>3870743</v>
      </c>
      <c r="G773" s="297">
        <v>3870743</v>
      </c>
      <c r="H773" s="297"/>
      <c r="I773" s="297"/>
      <c r="J773" s="28">
        <v>3870743</v>
      </c>
      <c r="K773" s="488"/>
      <c r="L773" s="467">
        <v>3870743</v>
      </c>
      <c r="M773" s="297">
        <v>3870743</v>
      </c>
      <c r="N773" s="297">
        <v>3870743</v>
      </c>
    </row>
    <row r="774" spans="1:14" s="20" customFormat="1">
      <c r="A774" s="253"/>
      <c r="B774" s="231"/>
      <c r="C774" s="32" t="s">
        <v>46</v>
      </c>
      <c r="D774" s="77">
        <v>21020119</v>
      </c>
      <c r="E774" s="135" t="s">
        <v>891</v>
      </c>
      <c r="F774" s="138">
        <v>10307853</v>
      </c>
      <c r="G774" s="297">
        <v>12307853</v>
      </c>
      <c r="H774" s="297"/>
      <c r="I774" s="297"/>
      <c r="J774" s="28">
        <v>12307853</v>
      </c>
      <c r="K774" s="488"/>
      <c r="L774" s="467">
        <v>12307853</v>
      </c>
      <c r="M774" s="297">
        <v>13316853</v>
      </c>
      <c r="N774" s="297">
        <v>13316853</v>
      </c>
    </row>
    <row r="775" spans="1:14" s="20" customFormat="1">
      <c r="A775" s="253"/>
      <c r="B775" s="231"/>
      <c r="C775" s="32" t="s">
        <v>46</v>
      </c>
      <c r="D775" s="77">
        <v>21020124</v>
      </c>
      <c r="E775" s="135" t="s">
        <v>734</v>
      </c>
      <c r="F775" s="138">
        <v>4342495</v>
      </c>
      <c r="G775" s="297">
        <v>4342495</v>
      </c>
      <c r="H775" s="297"/>
      <c r="I775" s="297"/>
      <c r="J775" s="28">
        <v>4342495</v>
      </c>
      <c r="K775" s="488"/>
      <c r="L775" s="467">
        <v>4342495</v>
      </c>
      <c r="M775" s="297">
        <v>4742135</v>
      </c>
      <c r="N775" s="297">
        <v>4742135</v>
      </c>
    </row>
    <row r="776" spans="1:14" s="20" customFormat="1">
      <c r="A776" s="253"/>
      <c r="B776" s="231"/>
      <c r="C776" s="32" t="s">
        <v>46</v>
      </c>
      <c r="D776" s="77">
        <v>21020138</v>
      </c>
      <c r="E776" s="135" t="s">
        <v>892</v>
      </c>
      <c r="F776" s="138">
        <v>4014481</v>
      </c>
      <c r="G776" s="297">
        <v>4014481</v>
      </c>
      <c r="H776" s="297"/>
      <c r="I776" s="297"/>
      <c r="J776" s="28">
        <v>4014481</v>
      </c>
      <c r="K776" s="488"/>
      <c r="L776" s="467">
        <v>4014481</v>
      </c>
      <c r="M776" s="297">
        <v>4089481</v>
      </c>
      <c r="N776" s="297">
        <v>4089481</v>
      </c>
    </row>
    <row r="777" spans="1:14" s="20" customFormat="1">
      <c r="A777" s="253"/>
      <c r="B777" s="231"/>
      <c r="C777" s="32" t="s">
        <v>46</v>
      </c>
      <c r="D777" s="77">
        <v>21020148</v>
      </c>
      <c r="E777" s="135" t="s">
        <v>893</v>
      </c>
      <c r="F777" s="138">
        <v>661531</v>
      </c>
      <c r="G777" s="297">
        <v>661531</v>
      </c>
      <c r="H777" s="297"/>
      <c r="I777" s="297"/>
      <c r="J777" s="28">
        <v>661531</v>
      </c>
      <c r="K777" s="488"/>
      <c r="L777" s="467">
        <v>661531</v>
      </c>
      <c r="M777" s="297">
        <v>661521</v>
      </c>
      <c r="N777" s="297">
        <v>661521</v>
      </c>
    </row>
    <row r="778" spans="1:14" s="20" customFormat="1">
      <c r="A778" s="253"/>
      <c r="B778" s="231"/>
      <c r="C778" s="32" t="s">
        <v>46</v>
      </c>
      <c r="D778" s="77">
        <v>21020127</v>
      </c>
      <c r="E778" s="135" t="s">
        <v>894</v>
      </c>
      <c r="F778" s="138">
        <v>0</v>
      </c>
      <c r="G778" s="297">
        <v>91504996.439999998</v>
      </c>
      <c r="H778" s="297"/>
      <c r="I778" s="297"/>
      <c r="J778" s="28">
        <v>91504996.439999998</v>
      </c>
      <c r="K778" s="488"/>
      <c r="L778" s="467">
        <v>91504996.439999998</v>
      </c>
      <c r="M778" s="297">
        <f>G778*10%+G778</f>
        <v>100655496.08399999</v>
      </c>
      <c r="N778" s="297">
        <f>M778*10%+M778</f>
        <v>110721045.69239999</v>
      </c>
    </row>
    <row r="779" spans="1:14" s="20" customFormat="1">
      <c r="A779" s="238"/>
      <c r="B779" s="231"/>
      <c r="C779" s="30" t="s">
        <v>1836</v>
      </c>
      <c r="D779" s="23"/>
      <c r="E779" s="25"/>
      <c r="F779" s="137">
        <f>SUM(F764:F778)</f>
        <v>329215376</v>
      </c>
      <c r="G779" s="114">
        <f>SUM(G764:G778)</f>
        <v>609130802.13999999</v>
      </c>
      <c r="H779" s="114">
        <f t="shared" ref="H779:I779" si="151">SUM(H764:H778)</f>
        <v>0</v>
      </c>
      <c r="I779" s="114">
        <f t="shared" si="151"/>
        <v>0</v>
      </c>
      <c r="J779" s="114">
        <f>SUM(J764:J778)</f>
        <v>609130802.13999999</v>
      </c>
      <c r="K779" s="490"/>
      <c r="L779" s="468">
        <f>SUM(L764:L778)</f>
        <v>609130802.13999999</v>
      </c>
      <c r="M779" s="114">
        <f>SUM(M764:M777)</f>
        <v>541699006</v>
      </c>
      <c r="N779" s="114">
        <f>SUM(N764:N777)</f>
        <v>541699006</v>
      </c>
    </row>
    <row r="780" spans="1:14" s="20" customFormat="1">
      <c r="A780" s="253"/>
      <c r="B780" s="231"/>
      <c r="C780" s="32" t="s">
        <v>47</v>
      </c>
      <c r="D780" s="77">
        <v>22020108</v>
      </c>
      <c r="E780" s="135" t="s">
        <v>812</v>
      </c>
      <c r="F780" s="136">
        <v>5922000</v>
      </c>
      <c r="G780" s="28">
        <v>5922000</v>
      </c>
      <c r="H780" s="28"/>
      <c r="I780" s="28"/>
      <c r="J780" s="28">
        <v>5922000</v>
      </c>
      <c r="K780" s="488">
        <f>J780*4.38%</f>
        <v>259383.6</v>
      </c>
      <c r="L780" s="469">
        <v>5662616.4000000004</v>
      </c>
      <c r="M780" s="28">
        <v>5922000</v>
      </c>
      <c r="N780" s="28">
        <v>5922000</v>
      </c>
    </row>
    <row r="781" spans="1:14" s="20" customFormat="1">
      <c r="A781" s="253"/>
      <c r="B781" s="231"/>
      <c r="C781" s="32" t="s">
        <v>47</v>
      </c>
      <c r="D781" s="77">
        <v>22020301</v>
      </c>
      <c r="E781" s="135" t="s">
        <v>737</v>
      </c>
      <c r="F781" s="136">
        <v>5325000</v>
      </c>
      <c r="G781" s="28">
        <v>1500000</v>
      </c>
      <c r="H781" s="28"/>
      <c r="I781" s="28"/>
      <c r="J781" s="28">
        <v>1500000</v>
      </c>
      <c r="K781" s="488">
        <f t="shared" ref="K781:K797" si="152">J781*4.38%</f>
        <v>65700</v>
      </c>
      <c r="L781" s="469">
        <v>1434300</v>
      </c>
      <c r="M781" s="28">
        <v>5325000</v>
      </c>
      <c r="N781" s="28">
        <v>5325000</v>
      </c>
    </row>
    <row r="782" spans="1:14" s="20" customFormat="1">
      <c r="A782" s="253"/>
      <c r="B782" s="231"/>
      <c r="C782" s="32" t="s">
        <v>47</v>
      </c>
      <c r="D782" s="77">
        <v>22020305</v>
      </c>
      <c r="E782" s="135" t="s">
        <v>755</v>
      </c>
      <c r="F782" s="136">
        <v>2600000</v>
      </c>
      <c r="G782" s="28">
        <v>1600000</v>
      </c>
      <c r="H782" s="28"/>
      <c r="I782" s="28"/>
      <c r="J782" s="28">
        <v>1600000</v>
      </c>
      <c r="K782" s="488">
        <f t="shared" si="152"/>
        <v>70080</v>
      </c>
      <c r="L782" s="469">
        <v>1529920</v>
      </c>
      <c r="M782" s="28">
        <v>2600000</v>
      </c>
      <c r="N782" s="28">
        <v>2600000</v>
      </c>
    </row>
    <row r="783" spans="1:14" s="20" customFormat="1">
      <c r="A783" s="253"/>
      <c r="B783" s="231"/>
      <c r="C783" s="32" t="s">
        <v>47</v>
      </c>
      <c r="D783" s="77">
        <v>22020306</v>
      </c>
      <c r="E783" s="135" t="s">
        <v>765</v>
      </c>
      <c r="F783" s="136">
        <v>2000000</v>
      </c>
      <c r="G783" s="28">
        <v>500000</v>
      </c>
      <c r="H783" s="28"/>
      <c r="I783" s="28"/>
      <c r="J783" s="28">
        <v>500000</v>
      </c>
      <c r="K783" s="488">
        <f t="shared" si="152"/>
        <v>21900</v>
      </c>
      <c r="L783" s="469">
        <v>478100</v>
      </c>
      <c r="M783" s="28">
        <v>2000000</v>
      </c>
      <c r="N783" s="28">
        <v>2000000</v>
      </c>
    </row>
    <row r="784" spans="1:14" s="20" customFormat="1">
      <c r="A784" s="253"/>
      <c r="B784" s="231"/>
      <c r="C784" s="32" t="s">
        <v>47</v>
      </c>
      <c r="D784" s="77">
        <v>22020315</v>
      </c>
      <c r="E784" s="135" t="s">
        <v>740</v>
      </c>
      <c r="F784" s="136">
        <v>5910000</v>
      </c>
      <c r="G784" s="28">
        <v>1910000</v>
      </c>
      <c r="H784" s="28"/>
      <c r="I784" s="28"/>
      <c r="J784" s="28">
        <v>1910000</v>
      </c>
      <c r="K784" s="488">
        <f t="shared" si="152"/>
        <v>83658</v>
      </c>
      <c r="L784" s="469">
        <v>1826342</v>
      </c>
      <c r="M784" s="28">
        <v>5230000</v>
      </c>
      <c r="N784" s="28">
        <v>5230000</v>
      </c>
    </row>
    <row r="785" spans="1:14" s="20" customFormat="1">
      <c r="A785" s="253"/>
      <c r="B785" s="231"/>
      <c r="C785" s="32" t="s">
        <v>47</v>
      </c>
      <c r="D785" s="77">
        <v>22020402</v>
      </c>
      <c r="E785" s="135" t="s">
        <v>757</v>
      </c>
      <c r="F785" s="136">
        <v>7500000</v>
      </c>
      <c r="G785" s="28">
        <v>500000</v>
      </c>
      <c r="H785" s="28"/>
      <c r="I785" s="28"/>
      <c r="J785" s="28">
        <v>500000</v>
      </c>
      <c r="K785" s="488">
        <f t="shared" si="152"/>
        <v>21900</v>
      </c>
      <c r="L785" s="469">
        <v>478100</v>
      </c>
      <c r="M785" s="28">
        <v>5500000</v>
      </c>
      <c r="N785" s="28">
        <v>7500000</v>
      </c>
    </row>
    <row r="786" spans="1:14" s="20" customFormat="1">
      <c r="A786" s="253"/>
      <c r="B786" s="231"/>
      <c r="C786" s="32" t="s">
        <v>47</v>
      </c>
      <c r="D786" s="77">
        <v>22020404</v>
      </c>
      <c r="E786" s="135" t="s">
        <v>742</v>
      </c>
      <c r="F786" s="136">
        <v>1200000</v>
      </c>
      <c r="G786" s="28">
        <v>1200000</v>
      </c>
      <c r="H786" s="28"/>
      <c r="I786" s="28"/>
      <c r="J786" s="28">
        <v>1200000</v>
      </c>
      <c r="K786" s="488">
        <f t="shared" si="152"/>
        <v>52560</v>
      </c>
      <c r="L786" s="469">
        <v>1147440</v>
      </c>
      <c r="M786" s="28">
        <v>1200000</v>
      </c>
      <c r="N786" s="28">
        <v>1200000</v>
      </c>
    </row>
    <row r="787" spans="1:14" s="20" customFormat="1">
      <c r="A787" s="253"/>
      <c r="B787" s="231"/>
      <c r="C787" s="32" t="s">
        <v>47</v>
      </c>
      <c r="D787" s="77">
        <v>22020405</v>
      </c>
      <c r="E787" s="135" t="s">
        <v>743</v>
      </c>
      <c r="F787" s="136">
        <v>6000000</v>
      </c>
      <c r="G787" s="28">
        <v>1500000</v>
      </c>
      <c r="H787" s="28"/>
      <c r="I787" s="28"/>
      <c r="J787" s="28">
        <v>1500000</v>
      </c>
      <c r="K787" s="488">
        <f t="shared" si="152"/>
        <v>65700</v>
      </c>
      <c r="L787" s="469">
        <v>1434300</v>
      </c>
      <c r="M787" s="28">
        <v>6000000</v>
      </c>
      <c r="N787" s="28">
        <v>6000000</v>
      </c>
    </row>
    <row r="788" spans="1:14" s="20" customFormat="1">
      <c r="A788" s="253"/>
      <c r="B788" s="231"/>
      <c r="C788" s="32" t="s">
        <v>47</v>
      </c>
      <c r="D788" s="77">
        <v>22020416</v>
      </c>
      <c r="E788" s="135" t="s">
        <v>782</v>
      </c>
      <c r="F788" s="136">
        <v>3000000</v>
      </c>
      <c r="G788" s="28">
        <v>500000</v>
      </c>
      <c r="H788" s="28"/>
      <c r="I788" s="28"/>
      <c r="J788" s="28">
        <v>500000</v>
      </c>
      <c r="K788" s="488">
        <f t="shared" si="152"/>
        <v>21900</v>
      </c>
      <c r="L788" s="469">
        <v>478100</v>
      </c>
      <c r="M788" s="28">
        <v>3000000</v>
      </c>
      <c r="N788" s="28">
        <v>3000000</v>
      </c>
    </row>
    <row r="789" spans="1:14" s="20" customFormat="1">
      <c r="A789" s="253"/>
      <c r="B789" s="231"/>
      <c r="C789" s="32" t="s">
        <v>47</v>
      </c>
      <c r="D789" s="77">
        <v>22020505</v>
      </c>
      <c r="E789" s="135" t="s">
        <v>843</v>
      </c>
      <c r="F789" s="136">
        <v>5000000</v>
      </c>
      <c r="G789" s="28">
        <v>0</v>
      </c>
      <c r="H789" s="28"/>
      <c r="I789" s="28"/>
      <c r="J789" s="28">
        <v>0</v>
      </c>
      <c r="K789" s="488">
        <f t="shared" si="152"/>
        <v>0</v>
      </c>
      <c r="L789" s="469">
        <v>0</v>
      </c>
      <c r="M789" s="28">
        <v>23400000</v>
      </c>
      <c r="N789" s="28">
        <v>23400000</v>
      </c>
    </row>
    <row r="790" spans="1:14" s="20" customFormat="1">
      <c r="A790" s="253"/>
      <c r="B790" s="231"/>
      <c r="C790" s="32" t="s">
        <v>47</v>
      </c>
      <c r="D790" s="77">
        <v>22020801</v>
      </c>
      <c r="E790" s="135" t="s">
        <v>747</v>
      </c>
      <c r="F790" s="136">
        <v>18042000</v>
      </c>
      <c r="G790" s="28">
        <v>8042000</v>
      </c>
      <c r="H790" s="28"/>
      <c r="I790" s="28"/>
      <c r="J790" s="28">
        <v>8042000</v>
      </c>
      <c r="K790" s="488">
        <f t="shared" si="152"/>
        <v>352239.6</v>
      </c>
      <c r="L790" s="469">
        <v>7689760.4000000004</v>
      </c>
      <c r="M790" s="28">
        <v>18042000</v>
      </c>
      <c r="N790" s="28">
        <v>18042000</v>
      </c>
    </row>
    <row r="791" spans="1:14" s="20" customFormat="1">
      <c r="A791" s="253"/>
      <c r="B791" s="231"/>
      <c r="C791" s="32" t="s">
        <v>47</v>
      </c>
      <c r="D791" s="77">
        <v>22020803</v>
      </c>
      <c r="E791" s="135" t="s">
        <v>748</v>
      </c>
      <c r="F791" s="136">
        <v>1800000</v>
      </c>
      <c r="G791" s="28">
        <v>1800000</v>
      </c>
      <c r="H791" s="28"/>
      <c r="I791" s="28"/>
      <c r="J791" s="28">
        <v>1800000</v>
      </c>
      <c r="K791" s="488">
        <f t="shared" si="152"/>
        <v>78840</v>
      </c>
      <c r="L791" s="469">
        <v>1721160</v>
      </c>
      <c r="M791" s="28">
        <v>1800000</v>
      </c>
      <c r="N791" s="28">
        <v>1800000</v>
      </c>
    </row>
    <row r="792" spans="1:14" s="20" customFormat="1">
      <c r="A792" s="253"/>
      <c r="B792" s="231"/>
      <c r="C792" s="32" t="s">
        <v>47</v>
      </c>
      <c r="D792" s="77">
        <v>22020901</v>
      </c>
      <c r="E792" s="135" t="s">
        <v>749</v>
      </c>
      <c r="F792" s="136">
        <v>200000</v>
      </c>
      <c r="G792" s="28">
        <v>200000</v>
      </c>
      <c r="H792" s="28"/>
      <c r="I792" s="28"/>
      <c r="J792" s="28">
        <v>200000</v>
      </c>
      <c r="K792" s="488">
        <f t="shared" si="152"/>
        <v>8760</v>
      </c>
      <c r="L792" s="469">
        <v>191240</v>
      </c>
      <c r="M792" s="28">
        <v>2400000</v>
      </c>
      <c r="N792" s="28">
        <v>2400000</v>
      </c>
    </row>
    <row r="793" spans="1:14" s="20" customFormat="1">
      <c r="A793" s="253"/>
      <c r="B793" s="231"/>
      <c r="C793" s="32" t="s">
        <v>47</v>
      </c>
      <c r="D793" s="77">
        <v>22021001</v>
      </c>
      <c r="E793" s="135" t="s">
        <v>772</v>
      </c>
      <c r="F793" s="136">
        <v>1788000</v>
      </c>
      <c r="G793" s="28">
        <v>1788000</v>
      </c>
      <c r="H793" s="28"/>
      <c r="I793" s="28"/>
      <c r="J793" s="28">
        <v>1788000</v>
      </c>
      <c r="K793" s="488">
        <f t="shared" si="152"/>
        <v>78314.399999999994</v>
      </c>
      <c r="L793" s="469">
        <v>1709685.6</v>
      </c>
      <c r="M793" s="28">
        <v>1788000</v>
      </c>
      <c r="N793" s="28">
        <v>1788000</v>
      </c>
    </row>
    <row r="794" spans="1:14" s="20" customFormat="1">
      <c r="A794" s="253"/>
      <c r="B794" s="231"/>
      <c r="C794" s="32" t="s">
        <v>47</v>
      </c>
      <c r="D794" s="77">
        <v>22021003</v>
      </c>
      <c r="E794" s="135" t="s">
        <v>760</v>
      </c>
      <c r="F794" s="136">
        <v>4115200</v>
      </c>
      <c r="G794" s="28">
        <v>2115200</v>
      </c>
      <c r="H794" s="28"/>
      <c r="I794" s="28"/>
      <c r="J794" s="28">
        <v>2115200</v>
      </c>
      <c r="K794" s="488">
        <f t="shared" si="152"/>
        <v>92645.759999999995</v>
      </c>
      <c r="L794" s="469">
        <v>2022554.24</v>
      </c>
      <c r="M794" s="28">
        <v>4640000</v>
      </c>
      <c r="N794" s="28">
        <v>5164800</v>
      </c>
    </row>
    <row r="795" spans="1:14" s="20" customFormat="1">
      <c r="A795" s="253"/>
      <c r="B795" s="231"/>
      <c r="C795" s="32" t="s">
        <v>47</v>
      </c>
      <c r="D795" s="77">
        <v>22021014</v>
      </c>
      <c r="E795" s="135" t="s">
        <v>800</v>
      </c>
      <c r="F795" s="136">
        <v>50000</v>
      </c>
      <c r="G795" s="28">
        <v>50000</v>
      </c>
      <c r="H795" s="28"/>
      <c r="I795" s="28"/>
      <c r="J795" s="28">
        <v>50000</v>
      </c>
      <c r="K795" s="488">
        <f t="shared" si="152"/>
        <v>2190</v>
      </c>
      <c r="L795" s="469">
        <v>47810</v>
      </c>
      <c r="M795" s="28">
        <v>4755500</v>
      </c>
      <c r="N795" s="28">
        <v>4755500</v>
      </c>
    </row>
    <row r="796" spans="1:14" s="20" customFormat="1">
      <c r="A796" s="253"/>
      <c r="B796" s="231"/>
      <c r="C796" s="32" t="s">
        <v>47</v>
      </c>
      <c r="D796" s="77">
        <v>22021029</v>
      </c>
      <c r="E796" s="135" t="s">
        <v>867</v>
      </c>
      <c r="F796" s="136">
        <v>3600000</v>
      </c>
      <c r="G796" s="28">
        <v>0</v>
      </c>
      <c r="H796" s="28"/>
      <c r="I796" s="28"/>
      <c r="J796" s="28">
        <v>0</v>
      </c>
      <c r="K796" s="488">
        <f t="shared" si="152"/>
        <v>0</v>
      </c>
      <c r="L796" s="469">
        <v>0</v>
      </c>
      <c r="M796" s="28">
        <v>3600000</v>
      </c>
      <c r="N796" s="28">
        <v>3600000</v>
      </c>
    </row>
    <row r="797" spans="1:14" s="20" customFormat="1">
      <c r="A797" s="253"/>
      <c r="B797" s="231"/>
      <c r="C797" s="32" t="s">
        <v>47</v>
      </c>
      <c r="D797" s="77">
        <v>22021032</v>
      </c>
      <c r="E797" s="135" t="s">
        <v>801</v>
      </c>
      <c r="F797" s="136">
        <v>1200000</v>
      </c>
      <c r="G797" s="28">
        <v>1200000</v>
      </c>
      <c r="H797" s="28"/>
      <c r="I797" s="28"/>
      <c r="J797" s="28">
        <v>1200000</v>
      </c>
      <c r="K797" s="488">
        <f t="shared" si="152"/>
        <v>52560</v>
      </c>
      <c r="L797" s="469">
        <v>1147440</v>
      </c>
      <c r="M797" s="28">
        <v>1200000</v>
      </c>
      <c r="N797" s="28">
        <v>1200000</v>
      </c>
    </row>
    <row r="798" spans="1:14" s="20" customFormat="1">
      <c r="A798" s="238"/>
      <c r="B798" s="231"/>
      <c r="C798" s="30" t="s">
        <v>1839</v>
      </c>
      <c r="D798" s="23"/>
      <c r="E798" s="25"/>
      <c r="F798" s="233">
        <f>SUM(F780:F797)</f>
        <v>75252200</v>
      </c>
      <c r="G798" s="114">
        <f>SUM(G780:G797)</f>
        <v>30327200</v>
      </c>
      <c r="H798" s="114">
        <f t="shared" ref="H798:I798" si="153">SUM(H780:H797)</f>
        <v>0</v>
      </c>
      <c r="I798" s="114">
        <f t="shared" si="153"/>
        <v>0</v>
      </c>
      <c r="J798" s="114">
        <f>SUM(J780:J797)</f>
        <v>30327200</v>
      </c>
      <c r="K798" s="490">
        <f>SUM(K780:K797)</f>
        <v>1328331.3599999999</v>
      </c>
      <c r="L798" s="468">
        <f>SUM(L780:L797)</f>
        <v>28998868.640000001</v>
      </c>
      <c r="M798" s="114">
        <f>SUM(M780:M797)</f>
        <v>98402500</v>
      </c>
      <c r="N798" s="114">
        <f>SUM(N780:N797)</f>
        <v>100927300</v>
      </c>
    </row>
    <row r="799" spans="1:14" s="66" customFormat="1" ht="30">
      <c r="A799" s="238" t="s">
        <v>889</v>
      </c>
      <c r="B799" s="231" t="s">
        <v>1869</v>
      </c>
      <c r="C799" s="30"/>
      <c r="D799" s="23"/>
      <c r="E799" s="25"/>
      <c r="F799" s="233">
        <f>F798+F779</f>
        <v>404467576</v>
      </c>
      <c r="G799" s="114">
        <f>G798+G779</f>
        <v>639458002.13999999</v>
      </c>
      <c r="H799" s="114">
        <f t="shared" ref="H799:I799" si="154">H798+H779</f>
        <v>0</v>
      </c>
      <c r="I799" s="114">
        <f t="shared" si="154"/>
        <v>0</v>
      </c>
      <c r="J799" s="114">
        <f>J798+J779</f>
        <v>639458002.13999999</v>
      </c>
      <c r="K799" s="490"/>
      <c r="L799" s="468">
        <f>L798+L779</f>
        <v>638129670.77999997</v>
      </c>
      <c r="M799" s="114">
        <f>M798+M779</f>
        <v>640101506</v>
      </c>
      <c r="N799" s="114">
        <f>N798+N779</f>
        <v>642626306</v>
      </c>
    </row>
    <row r="800" spans="1:14" s="20" customFormat="1" ht="21">
      <c r="A800" s="252"/>
      <c r="B800" s="443"/>
      <c r="C800" s="228"/>
      <c r="D800" s="229"/>
      <c r="E800" s="230"/>
      <c r="F800" s="230"/>
      <c r="G800" s="296"/>
      <c r="H800" s="296"/>
      <c r="I800" s="296"/>
      <c r="J800" s="28">
        <f>G800+H800-I800</f>
        <v>0</v>
      </c>
      <c r="K800" s="488">
        <f>H800+I800-J800</f>
        <v>0</v>
      </c>
      <c r="L800" s="468">
        <f>G800-J800</f>
        <v>0</v>
      </c>
      <c r="M800" s="296"/>
      <c r="N800" s="296"/>
    </row>
    <row r="801" spans="1:14" s="20" customFormat="1" ht="30">
      <c r="A801" s="238" t="s">
        <v>896</v>
      </c>
      <c r="B801" s="231" t="s">
        <v>150</v>
      </c>
      <c r="C801" s="32" t="s">
        <v>46</v>
      </c>
      <c r="D801" s="77"/>
      <c r="E801" s="135"/>
      <c r="F801" s="136">
        <v>292666910.31</v>
      </c>
      <c r="G801" s="28">
        <v>292666910.31</v>
      </c>
      <c r="H801" s="28"/>
      <c r="I801" s="28"/>
      <c r="J801" s="28">
        <v>292666910.31</v>
      </c>
      <c r="K801" s="488"/>
      <c r="L801" s="467">
        <v>292666910.31</v>
      </c>
      <c r="M801" s="28">
        <f>G801*10%+G801</f>
        <v>321933601.34100002</v>
      </c>
      <c r="N801" s="28">
        <f>M801*10%+M801</f>
        <v>354126961.47510004</v>
      </c>
    </row>
    <row r="802" spans="1:14" s="20" customFormat="1">
      <c r="A802" s="238"/>
      <c r="B802" s="231"/>
      <c r="C802" s="30" t="s">
        <v>1842</v>
      </c>
      <c r="D802" s="23"/>
      <c r="E802" s="25"/>
      <c r="F802" s="137">
        <f>SUM(F801)</f>
        <v>292666910.31</v>
      </c>
      <c r="G802" s="114">
        <f>SUM(G801)</f>
        <v>292666910.31</v>
      </c>
      <c r="H802" s="114">
        <f t="shared" ref="H802:I802" si="155">SUM(H801)</f>
        <v>0</v>
      </c>
      <c r="I802" s="114">
        <f t="shared" si="155"/>
        <v>0</v>
      </c>
      <c r="J802" s="114">
        <f>SUM(J801)</f>
        <v>292666910.31</v>
      </c>
      <c r="K802" s="490"/>
      <c r="L802" s="468">
        <f>SUM(L801)</f>
        <v>292666910.31</v>
      </c>
      <c r="M802" s="114">
        <f>SUM(M801)</f>
        <v>321933601.34100002</v>
      </c>
      <c r="N802" s="114">
        <f>SUM(N801)</f>
        <v>354126961.47510004</v>
      </c>
    </row>
    <row r="803" spans="1:14" s="20" customFormat="1">
      <c r="A803" s="253"/>
      <c r="B803" s="231"/>
      <c r="C803" s="32" t="s">
        <v>47</v>
      </c>
      <c r="D803" s="77">
        <v>22020105</v>
      </c>
      <c r="E803" s="135" t="s">
        <v>1733</v>
      </c>
      <c r="F803" s="136">
        <v>480000</v>
      </c>
      <c r="G803" s="28">
        <v>480000</v>
      </c>
      <c r="H803" s="28"/>
      <c r="I803" s="28"/>
      <c r="J803" s="28">
        <v>480000</v>
      </c>
      <c r="K803" s="488">
        <f>J803*4.38%</f>
        <v>21024</v>
      </c>
      <c r="L803" s="469">
        <v>458976</v>
      </c>
      <c r="M803" s="28">
        <v>480000</v>
      </c>
      <c r="N803" s="28">
        <v>480000</v>
      </c>
    </row>
    <row r="804" spans="1:14" s="20" customFormat="1">
      <c r="A804" s="253"/>
      <c r="B804" s="231"/>
      <c r="C804" s="32" t="s">
        <v>47</v>
      </c>
      <c r="D804" s="77">
        <v>22020301</v>
      </c>
      <c r="E804" s="135" t="s">
        <v>737</v>
      </c>
      <c r="F804" s="136">
        <v>2159100</v>
      </c>
      <c r="G804" s="28">
        <v>159100</v>
      </c>
      <c r="H804" s="28"/>
      <c r="I804" s="28"/>
      <c r="J804" s="28">
        <v>159100</v>
      </c>
      <c r="K804" s="488">
        <f t="shared" ref="K804:K813" si="156">J804*4.38%</f>
        <v>6968.58</v>
      </c>
      <c r="L804" s="469">
        <v>152131.42000000001</v>
      </c>
      <c r="M804" s="28">
        <v>2159100</v>
      </c>
      <c r="N804" s="28">
        <v>2159100</v>
      </c>
    </row>
    <row r="805" spans="1:14" s="20" customFormat="1">
      <c r="A805" s="253"/>
      <c r="B805" s="231"/>
      <c r="C805" s="32" t="s">
        <v>47</v>
      </c>
      <c r="D805" s="77">
        <v>22020401</v>
      </c>
      <c r="E805" s="135" t="s">
        <v>741</v>
      </c>
      <c r="F805" s="136">
        <v>720000</v>
      </c>
      <c r="G805" s="28">
        <f>720000-200000</f>
        <v>520000</v>
      </c>
      <c r="H805" s="28"/>
      <c r="I805" s="28"/>
      <c r="J805" s="28">
        <v>520000</v>
      </c>
      <c r="K805" s="488">
        <f t="shared" si="156"/>
        <v>22776</v>
      </c>
      <c r="L805" s="469">
        <v>497224</v>
      </c>
      <c r="M805" s="28">
        <v>720000</v>
      </c>
      <c r="N805" s="28">
        <v>720000</v>
      </c>
    </row>
    <row r="806" spans="1:14" s="20" customFormat="1">
      <c r="A806" s="253"/>
      <c r="B806" s="231"/>
      <c r="C806" s="32" t="s">
        <v>47</v>
      </c>
      <c r="D806" s="77">
        <v>22020404</v>
      </c>
      <c r="E806" s="135" t="s">
        <v>742</v>
      </c>
      <c r="F806" s="136">
        <v>637000</v>
      </c>
      <c r="G806" s="28">
        <f>637000-300000</f>
        <v>337000</v>
      </c>
      <c r="H806" s="28"/>
      <c r="I806" s="28"/>
      <c r="J806" s="28">
        <v>337000</v>
      </c>
      <c r="K806" s="488">
        <f t="shared" si="156"/>
        <v>14760.6</v>
      </c>
      <c r="L806" s="469">
        <v>322239.40000000002</v>
      </c>
      <c r="M806" s="28">
        <v>637000</v>
      </c>
      <c r="N806" s="28">
        <v>637000</v>
      </c>
    </row>
    <row r="807" spans="1:14" s="20" customFormat="1">
      <c r="A807" s="253"/>
      <c r="B807" s="231"/>
      <c r="C807" s="32" t="s">
        <v>47</v>
      </c>
      <c r="D807" s="77">
        <v>22020405</v>
      </c>
      <c r="E807" s="135" t="s">
        <v>743</v>
      </c>
      <c r="F807" s="136">
        <v>98800</v>
      </c>
      <c r="G807" s="28">
        <v>98800</v>
      </c>
      <c r="H807" s="28"/>
      <c r="I807" s="28"/>
      <c r="J807" s="28">
        <v>98800</v>
      </c>
      <c r="K807" s="488">
        <f t="shared" si="156"/>
        <v>4327.4399999999996</v>
      </c>
      <c r="L807" s="469">
        <v>94472.56</v>
      </c>
      <c r="M807" s="28">
        <v>98800</v>
      </c>
      <c r="N807" s="28">
        <v>98800</v>
      </c>
    </row>
    <row r="808" spans="1:14" s="20" customFormat="1">
      <c r="A808" s="253"/>
      <c r="B808" s="231"/>
      <c r="C808" s="32" t="s">
        <v>47</v>
      </c>
      <c r="D808" s="77">
        <v>22020504</v>
      </c>
      <c r="E808" s="135" t="s">
        <v>897</v>
      </c>
      <c r="F808" s="136">
        <v>684000</v>
      </c>
      <c r="G808" s="28">
        <v>0</v>
      </c>
      <c r="H808" s="28"/>
      <c r="I808" s="28"/>
      <c r="J808" s="28">
        <v>0</v>
      </c>
      <c r="K808" s="488">
        <f t="shared" si="156"/>
        <v>0</v>
      </c>
      <c r="L808" s="469">
        <v>0</v>
      </c>
      <c r="M808" s="28">
        <v>684000</v>
      </c>
      <c r="N808" s="28">
        <v>684000</v>
      </c>
    </row>
    <row r="809" spans="1:14" s="20" customFormat="1">
      <c r="A809" s="253"/>
      <c r="B809" s="231"/>
      <c r="C809" s="32" t="s">
        <v>47</v>
      </c>
      <c r="D809" s="77">
        <v>22020709</v>
      </c>
      <c r="E809" s="135" t="s">
        <v>771</v>
      </c>
      <c r="F809" s="136">
        <v>800000</v>
      </c>
      <c r="G809" s="28">
        <v>0</v>
      </c>
      <c r="H809" s="28"/>
      <c r="I809" s="28"/>
      <c r="J809" s="28">
        <v>0</v>
      </c>
      <c r="K809" s="488">
        <f t="shared" si="156"/>
        <v>0</v>
      </c>
      <c r="L809" s="469">
        <v>0</v>
      </c>
      <c r="M809" s="28">
        <v>800000</v>
      </c>
      <c r="N809" s="28">
        <v>800000</v>
      </c>
    </row>
    <row r="810" spans="1:14" s="20" customFormat="1">
      <c r="A810" s="253"/>
      <c r="B810" s="231"/>
      <c r="C810" s="32" t="s">
        <v>47</v>
      </c>
      <c r="D810" s="77">
        <v>22020801</v>
      </c>
      <c r="E810" s="135" t="s">
        <v>747</v>
      </c>
      <c r="F810" s="136">
        <v>242000</v>
      </c>
      <c r="G810" s="28">
        <v>242000</v>
      </c>
      <c r="H810" s="28"/>
      <c r="I810" s="28"/>
      <c r="J810" s="28">
        <v>242000</v>
      </c>
      <c r="K810" s="488">
        <f t="shared" si="156"/>
        <v>10599.6</v>
      </c>
      <c r="L810" s="469">
        <v>231400.40000000002</v>
      </c>
      <c r="M810" s="28">
        <v>242000</v>
      </c>
      <c r="N810" s="28">
        <v>242000</v>
      </c>
    </row>
    <row r="811" spans="1:14" s="20" customFormat="1">
      <c r="A811" s="253"/>
      <c r="B811" s="231"/>
      <c r="C811" s="32" t="s">
        <v>47</v>
      </c>
      <c r="D811" s="77">
        <v>22020803</v>
      </c>
      <c r="E811" s="135" t="s">
        <v>748</v>
      </c>
      <c r="F811" s="136">
        <v>516000</v>
      </c>
      <c r="G811" s="28">
        <v>516000</v>
      </c>
      <c r="H811" s="28"/>
      <c r="I811" s="28"/>
      <c r="J811" s="28">
        <v>516000</v>
      </c>
      <c r="K811" s="488">
        <f t="shared" si="156"/>
        <v>22600.799999999999</v>
      </c>
      <c r="L811" s="469">
        <v>493399.2</v>
      </c>
      <c r="M811" s="28">
        <v>516000</v>
      </c>
      <c r="N811" s="28">
        <v>516000</v>
      </c>
    </row>
    <row r="812" spans="1:14" s="20" customFormat="1">
      <c r="A812" s="253"/>
      <c r="B812" s="231"/>
      <c r="C812" s="32" t="s">
        <v>47</v>
      </c>
      <c r="D812" s="77">
        <v>22020901</v>
      </c>
      <c r="E812" s="135" t="s">
        <v>749</v>
      </c>
      <c r="F812" s="136">
        <v>27099.999599999996</v>
      </c>
      <c r="G812" s="28">
        <v>27099.999599999996</v>
      </c>
      <c r="H812" s="28"/>
      <c r="I812" s="28"/>
      <c r="J812" s="28">
        <v>27099.999599999996</v>
      </c>
      <c r="K812" s="488">
        <f t="shared" si="156"/>
        <v>1186.9799824799998</v>
      </c>
      <c r="L812" s="469">
        <v>25913.019617519996</v>
      </c>
      <c r="M812" s="28">
        <v>27099.999599999996</v>
      </c>
      <c r="N812" s="28">
        <v>27099.999599999996</v>
      </c>
    </row>
    <row r="813" spans="1:14" s="20" customFormat="1">
      <c r="A813" s="253"/>
      <c r="B813" s="231"/>
      <c r="C813" s="32" t="s">
        <v>47</v>
      </c>
      <c r="D813" s="77">
        <v>22021001</v>
      </c>
      <c r="E813" s="135" t="s">
        <v>772</v>
      </c>
      <c r="F813" s="136">
        <v>212000</v>
      </c>
      <c r="G813" s="28">
        <v>212000</v>
      </c>
      <c r="H813" s="28"/>
      <c r="I813" s="28"/>
      <c r="J813" s="28">
        <v>212000</v>
      </c>
      <c r="K813" s="488">
        <f t="shared" si="156"/>
        <v>9285.6</v>
      </c>
      <c r="L813" s="469">
        <v>202714.40000000002</v>
      </c>
      <c r="M813" s="28">
        <v>212000</v>
      </c>
      <c r="N813" s="28">
        <v>212000</v>
      </c>
    </row>
    <row r="814" spans="1:14" s="20" customFormat="1">
      <c r="A814" s="238"/>
      <c r="B814" s="231"/>
      <c r="C814" s="30" t="s">
        <v>1837</v>
      </c>
      <c r="D814" s="23"/>
      <c r="E814" s="25"/>
      <c r="F814" s="137">
        <f>SUM(F803:F813)</f>
        <v>6575999.9995999997</v>
      </c>
      <c r="G814" s="114">
        <f>SUM(G803:G813)</f>
        <v>2591999.9996000002</v>
      </c>
      <c r="H814" s="114">
        <f t="shared" ref="H814:I814" si="157">SUM(H803:H813)</f>
        <v>0</v>
      </c>
      <c r="I814" s="114">
        <f t="shared" si="157"/>
        <v>0</v>
      </c>
      <c r="J814" s="114">
        <f>SUM(J803:J813)</f>
        <v>2591999.9996000002</v>
      </c>
      <c r="K814" s="490">
        <f>J814*4.38%</f>
        <v>113529.59998248001</v>
      </c>
      <c r="L814" s="468">
        <f>SUM(L803:L813)</f>
        <v>2478470.3996175197</v>
      </c>
      <c r="M814" s="114">
        <f>SUM(M803:M813)</f>
        <v>6575999.9995999997</v>
      </c>
      <c r="N814" s="114">
        <f>SUM(N803:N813)</f>
        <v>6575999.9995999997</v>
      </c>
    </row>
    <row r="815" spans="1:14" s="66" customFormat="1" ht="30">
      <c r="A815" s="238" t="s">
        <v>896</v>
      </c>
      <c r="B815" s="231" t="s">
        <v>1870</v>
      </c>
      <c r="C815" s="30"/>
      <c r="D815" s="23"/>
      <c r="E815" s="25"/>
      <c r="F815" s="137">
        <f>F814+F802</f>
        <v>299242910.3096</v>
      </c>
      <c r="G815" s="114">
        <f>G814+G802</f>
        <v>295258910.3096</v>
      </c>
      <c r="H815" s="114">
        <f t="shared" ref="H815:I815" si="158">H814+H802</f>
        <v>0</v>
      </c>
      <c r="I815" s="114">
        <f t="shared" si="158"/>
        <v>0</v>
      </c>
      <c r="J815" s="114">
        <f>J814+J802</f>
        <v>295258910.3096</v>
      </c>
      <c r="K815" s="490"/>
      <c r="L815" s="468">
        <f>L814+L802</f>
        <v>295145380.7096175</v>
      </c>
      <c r="M815" s="114">
        <f>M814+M802</f>
        <v>328509601.34060001</v>
      </c>
      <c r="N815" s="114">
        <f>N814+N802</f>
        <v>360702961.47470003</v>
      </c>
    </row>
    <row r="816" spans="1:14" s="20" customFormat="1" ht="21">
      <c r="A816" s="252"/>
      <c r="B816" s="443"/>
      <c r="C816" s="228"/>
      <c r="D816" s="229"/>
      <c r="E816" s="230"/>
      <c r="F816" s="215"/>
      <c r="G816" s="296"/>
      <c r="H816" s="296"/>
      <c r="I816" s="296"/>
      <c r="J816" s="28"/>
      <c r="K816" s="488"/>
      <c r="L816" s="468"/>
      <c r="M816" s="296"/>
      <c r="N816" s="296"/>
    </row>
    <row r="817" spans="1:14" s="20" customFormat="1" ht="30">
      <c r="A817" s="238" t="s">
        <v>898</v>
      </c>
      <c r="B817" s="231" t="s">
        <v>133</v>
      </c>
      <c r="C817" s="32" t="s">
        <v>46</v>
      </c>
      <c r="D817" s="77">
        <v>21010101</v>
      </c>
      <c r="E817" s="135" t="s">
        <v>725</v>
      </c>
      <c r="F817" s="136">
        <v>55300248.68</v>
      </c>
      <c r="G817" s="28">
        <v>55300248.68</v>
      </c>
      <c r="H817" s="28"/>
      <c r="I817" s="28"/>
      <c r="J817" s="28">
        <v>55300248.68</v>
      </c>
      <c r="K817" s="488"/>
      <c r="L817" s="467">
        <v>55300248.68</v>
      </c>
      <c r="M817" s="28">
        <f>G817*10%+G817</f>
        <v>60830273.548</v>
      </c>
      <c r="N817" s="28">
        <f>M817*10%+M817</f>
        <v>66913300.902800001</v>
      </c>
    </row>
    <row r="818" spans="1:14" s="20" customFormat="1">
      <c r="A818" s="238"/>
      <c r="B818" s="231"/>
      <c r="C818" s="30" t="s">
        <v>1836</v>
      </c>
      <c r="D818" s="23"/>
      <c r="E818" s="25"/>
      <c r="F818" s="137">
        <f>SUM(F817)</f>
        <v>55300248.68</v>
      </c>
      <c r="G818" s="114">
        <f>SUM(G817)</f>
        <v>55300248.68</v>
      </c>
      <c r="H818" s="114">
        <f t="shared" ref="H818:I818" si="159">SUM(H817)</f>
        <v>0</v>
      </c>
      <c r="I818" s="114">
        <f t="shared" si="159"/>
        <v>0</v>
      </c>
      <c r="J818" s="114">
        <f>SUM(J817)</f>
        <v>55300248.68</v>
      </c>
      <c r="K818" s="490"/>
      <c r="L818" s="468">
        <f>SUM(L817)</f>
        <v>55300248.68</v>
      </c>
      <c r="M818" s="114">
        <f>SUM(M817)</f>
        <v>60830273.548</v>
      </c>
      <c r="N818" s="114">
        <f>SUM(N817)</f>
        <v>66913300.902800001</v>
      </c>
    </row>
    <row r="819" spans="1:14" s="20" customFormat="1">
      <c r="A819" s="253"/>
      <c r="B819" s="231"/>
      <c r="C819" s="32" t="s">
        <v>47</v>
      </c>
      <c r="D819" s="77">
        <v>22020105</v>
      </c>
      <c r="E819" s="240" t="s">
        <v>1733</v>
      </c>
      <c r="F819" s="136">
        <f>1068000+800000-250000</f>
        <v>1618000</v>
      </c>
      <c r="G819" s="28">
        <f>1068000+800000-250000</f>
        <v>1618000</v>
      </c>
      <c r="H819" s="28"/>
      <c r="I819" s="28"/>
      <c r="J819" s="28">
        <v>1618000</v>
      </c>
      <c r="K819" s="488">
        <f>J819*4.38%</f>
        <v>70868.399999999994</v>
      </c>
      <c r="L819" s="469">
        <v>1547131.6</v>
      </c>
      <c r="M819" s="28">
        <v>1068000</v>
      </c>
      <c r="N819" s="28">
        <v>1068000</v>
      </c>
    </row>
    <row r="820" spans="1:14" s="20" customFormat="1">
      <c r="A820" s="253"/>
      <c r="B820" s="231"/>
      <c r="C820" s="32" t="s">
        <v>47</v>
      </c>
      <c r="D820" s="77">
        <v>22020301</v>
      </c>
      <c r="E820" s="135" t="s">
        <v>737</v>
      </c>
      <c r="F820" s="136">
        <v>1154250</v>
      </c>
      <c r="G820" s="28">
        <v>1154250</v>
      </c>
      <c r="H820" s="28"/>
      <c r="I820" s="28"/>
      <c r="J820" s="28">
        <v>1154250</v>
      </c>
      <c r="K820" s="488">
        <f t="shared" ref="K820:K825" si="160">J820*4.38%</f>
        <v>50556.15</v>
      </c>
      <c r="L820" s="469">
        <v>1103693.8500000001</v>
      </c>
      <c r="M820" s="28">
        <v>1154250</v>
      </c>
      <c r="N820" s="28">
        <v>1154250</v>
      </c>
    </row>
    <row r="821" spans="1:14" s="20" customFormat="1">
      <c r="A821" s="253"/>
      <c r="B821" s="231"/>
      <c r="C821" s="32" t="s">
        <v>47</v>
      </c>
      <c r="D821" s="77">
        <v>22020305</v>
      </c>
      <c r="E821" s="240" t="s">
        <v>755</v>
      </c>
      <c r="F821" s="136">
        <v>212000</v>
      </c>
      <c r="G821" s="28">
        <v>212000</v>
      </c>
      <c r="H821" s="28"/>
      <c r="I821" s="28"/>
      <c r="J821" s="28">
        <v>212000</v>
      </c>
      <c r="K821" s="488">
        <f t="shared" si="160"/>
        <v>9285.6</v>
      </c>
      <c r="L821" s="469">
        <v>202714.40000000002</v>
      </c>
      <c r="M821" s="28">
        <v>212000</v>
      </c>
      <c r="N821" s="28">
        <v>212000</v>
      </c>
    </row>
    <row r="822" spans="1:14" s="20" customFormat="1">
      <c r="A822" s="253"/>
      <c r="B822" s="231"/>
      <c r="C822" s="32" t="s">
        <v>47</v>
      </c>
      <c r="D822" s="77">
        <v>22020401</v>
      </c>
      <c r="E822" s="135" t="s">
        <v>1728</v>
      </c>
      <c r="F822" s="136">
        <v>1313000</v>
      </c>
      <c r="G822" s="28">
        <v>1313000</v>
      </c>
      <c r="H822" s="28"/>
      <c r="I822" s="28"/>
      <c r="J822" s="28">
        <v>1313000</v>
      </c>
      <c r="K822" s="488">
        <f t="shared" si="160"/>
        <v>57509.4</v>
      </c>
      <c r="L822" s="469">
        <v>1255490.6000000001</v>
      </c>
      <c r="M822" s="28">
        <v>1313000</v>
      </c>
      <c r="N822" s="28">
        <v>1313000</v>
      </c>
    </row>
    <row r="823" spans="1:14" s="20" customFormat="1">
      <c r="A823" s="253"/>
      <c r="B823" s="231"/>
      <c r="C823" s="32" t="s">
        <v>47</v>
      </c>
      <c r="D823" s="77">
        <v>22020709</v>
      </c>
      <c r="E823" s="240" t="s">
        <v>771</v>
      </c>
      <c r="F823" s="136">
        <v>485000</v>
      </c>
      <c r="G823" s="28">
        <v>485000</v>
      </c>
      <c r="H823" s="28"/>
      <c r="I823" s="28"/>
      <c r="J823" s="28">
        <v>485000</v>
      </c>
      <c r="K823" s="488">
        <f t="shared" si="160"/>
        <v>21243</v>
      </c>
      <c r="L823" s="469">
        <v>463757</v>
      </c>
      <c r="M823" s="28">
        <v>485000</v>
      </c>
      <c r="N823" s="28">
        <v>485000</v>
      </c>
    </row>
    <row r="824" spans="1:14" s="20" customFormat="1">
      <c r="A824" s="253"/>
      <c r="B824" s="231"/>
      <c r="C824" s="32" t="s">
        <v>47</v>
      </c>
      <c r="D824" s="77">
        <v>22020801</v>
      </c>
      <c r="E824" s="240" t="s">
        <v>747</v>
      </c>
      <c r="F824" s="136">
        <v>916500</v>
      </c>
      <c r="G824" s="28">
        <v>916500</v>
      </c>
      <c r="H824" s="28"/>
      <c r="I824" s="28"/>
      <c r="J824" s="28">
        <v>916500</v>
      </c>
      <c r="K824" s="488">
        <f t="shared" si="160"/>
        <v>40142.699999999997</v>
      </c>
      <c r="L824" s="469">
        <v>876357.3</v>
      </c>
      <c r="M824" s="28">
        <v>916500</v>
      </c>
      <c r="N824" s="28">
        <v>916500</v>
      </c>
    </row>
    <row r="825" spans="1:14" s="20" customFormat="1">
      <c r="A825" s="253"/>
      <c r="B825" s="231"/>
      <c r="C825" s="32" t="s">
        <v>47</v>
      </c>
      <c r="D825" s="77">
        <v>22021001</v>
      </c>
      <c r="E825" s="240" t="s">
        <v>772</v>
      </c>
      <c r="F825" s="136">
        <v>384000</v>
      </c>
      <c r="G825" s="28">
        <v>384000</v>
      </c>
      <c r="H825" s="28"/>
      <c r="I825" s="28"/>
      <c r="J825" s="28">
        <v>384000</v>
      </c>
      <c r="K825" s="488">
        <f t="shared" si="160"/>
        <v>16819.2</v>
      </c>
      <c r="L825" s="469">
        <v>367180.80000000005</v>
      </c>
      <c r="M825" s="28">
        <v>384000</v>
      </c>
      <c r="N825" s="28">
        <v>384000</v>
      </c>
    </row>
    <row r="826" spans="1:14" s="20" customFormat="1">
      <c r="A826" s="238"/>
      <c r="B826" s="231"/>
      <c r="C826" s="30" t="s">
        <v>1837</v>
      </c>
      <c r="D826" s="23"/>
      <c r="E826" s="25"/>
      <c r="F826" s="137">
        <f>SUM(F819:F825)</f>
        <v>6082750</v>
      </c>
      <c r="G826" s="114">
        <f>SUM(G819:G825)</f>
        <v>6082750</v>
      </c>
      <c r="H826" s="114">
        <f t="shared" ref="H826:I826" si="161">SUM(H819:H825)</f>
        <v>0</v>
      </c>
      <c r="I826" s="114">
        <f t="shared" si="161"/>
        <v>0</v>
      </c>
      <c r="J826" s="114">
        <f>SUM(J819:J825)</f>
        <v>6082750</v>
      </c>
      <c r="K826" s="490">
        <f>SUM(K819:K825)</f>
        <v>266424.45</v>
      </c>
      <c r="L826" s="468">
        <f>SUM(L819:L825)</f>
        <v>5816325.5499999998</v>
      </c>
      <c r="M826" s="114">
        <f>SUM(M819:M825)</f>
        <v>5532750</v>
      </c>
      <c r="N826" s="114">
        <f>SUM(N819:N825)</f>
        <v>5532750</v>
      </c>
    </row>
    <row r="827" spans="1:14" s="66" customFormat="1" ht="30">
      <c r="A827" s="238" t="s">
        <v>898</v>
      </c>
      <c r="B827" s="231" t="s">
        <v>1871</v>
      </c>
      <c r="C827" s="30"/>
      <c r="D827" s="23"/>
      <c r="E827" s="25"/>
      <c r="F827" s="137">
        <f>F826+F818</f>
        <v>61382998.68</v>
      </c>
      <c r="G827" s="114">
        <f>G826+G818</f>
        <v>61382998.68</v>
      </c>
      <c r="H827" s="114">
        <f t="shared" ref="H827:I827" si="162">H826+H818</f>
        <v>0</v>
      </c>
      <c r="I827" s="114">
        <f t="shared" si="162"/>
        <v>0</v>
      </c>
      <c r="J827" s="114">
        <f>J826+J818</f>
        <v>61382998.68</v>
      </c>
      <c r="K827" s="490"/>
      <c r="L827" s="468">
        <f>L826+L818</f>
        <v>61116574.229999997</v>
      </c>
      <c r="M827" s="114">
        <f>M826+M818</f>
        <v>66363023.548</v>
      </c>
      <c r="N827" s="114">
        <f>N826+N818</f>
        <v>72446050.902799994</v>
      </c>
    </row>
    <row r="828" spans="1:14" s="20" customFormat="1" ht="21">
      <c r="A828" s="252"/>
      <c r="B828" s="443"/>
      <c r="C828" s="228"/>
      <c r="D828" s="229"/>
      <c r="E828" s="230"/>
      <c r="F828" s="215"/>
      <c r="G828" s="296"/>
      <c r="H828" s="296"/>
      <c r="I828" s="296"/>
      <c r="J828" s="28"/>
      <c r="K828" s="488"/>
      <c r="L828" s="468"/>
      <c r="M828" s="296"/>
      <c r="N828" s="296"/>
    </row>
    <row r="829" spans="1:14" s="20" customFormat="1">
      <c r="A829" s="238" t="s">
        <v>900</v>
      </c>
      <c r="B829" s="231" t="s">
        <v>899</v>
      </c>
      <c r="C829" s="32" t="s">
        <v>46</v>
      </c>
      <c r="D829" s="77"/>
      <c r="E829" s="135"/>
      <c r="F829" s="138">
        <v>303995224.24800009</v>
      </c>
      <c r="G829" s="297">
        <v>303995224.24800009</v>
      </c>
      <c r="H829" s="297"/>
      <c r="I829" s="297"/>
      <c r="J829" s="28">
        <v>303995224.24800009</v>
      </c>
      <c r="K829" s="488"/>
      <c r="L829" s="467">
        <v>303995224.24800009</v>
      </c>
      <c r="M829" s="297">
        <f>G829*10%+G829</f>
        <v>334394746.67280006</v>
      </c>
      <c r="N829" s="297">
        <f>M829*10%+M829</f>
        <v>367834221.34008008</v>
      </c>
    </row>
    <row r="830" spans="1:14" s="20" customFormat="1">
      <c r="A830" s="238"/>
      <c r="B830" s="231"/>
      <c r="C830" s="30" t="s">
        <v>1836</v>
      </c>
      <c r="D830" s="23"/>
      <c r="E830" s="25"/>
      <c r="F830" s="137">
        <f>SUM(F829)</f>
        <v>303995224.24800009</v>
      </c>
      <c r="G830" s="114">
        <f>SUM(G829)</f>
        <v>303995224.24800009</v>
      </c>
      <c r="H830" s="114">
        <f t="shared" ref="H830:I830" si="163">SUM(H829)</f>
        <v>0</v>
      </c>
      <c r="I830" s="114">
        <f t="shared" si="163"/>
        <v>0</v>
      </c>
      <c r="J830" s="114">
        <f>SUM(J829)</f>
        <v>303995224.24800009</v>
      </c>
      <c r="K830" s="490"/>
      <c r="L830" s="468">
        <f>SUM(L829)</f>
        <v>303995224.24800009</v>
      </c>
      <c r="M830" s="114">
        <f>SUM(M829)</f>
        <v>334394746.67280006</v>
      </c>
      <c r="N830" s="114">
        <f>SUM(N829)</f>
        <v>367834221.34008008</v>
      </c>
    </row>
    <row r="831" spans="1:14" s="20" customFormat="1">
      <c r="A831" s="253"/>
      <c r="B831" s="231"/>
      <c r="C831" s="32" t="s">
        <v>47</v>
      </c>
      <c r="D831" s="77">
        <v>22020105</v>
      </c>
      <c r="E831" s="135" t="s">
        <v>1733</v>
      </c>
      <c r="F831" s="136">
        <v>6438000</v>
      </c>
      <c r="G831" s="28">
        <v>6438000</v>
      </c>
      <c r="H831" s="28"/>
      <c r="I831" s="28"/>
      <c r="J831" s="28">
        <v>6438000</v>
      </c>
      <c r="K831" s="488">
        <f>J831*4.38%</f>
        <v>281984.39999999997</v>
      </c>
      <c r="L831" s="469">
        <v>6156015.6000000006</v>
      </c>
      <c r="M831" s="28">
        <v>6438000</v>
      </c>
      <c r="N831" s="28">
        <v>6438000</v>
      </c>
    </row>
    <row r="832" spans="1:14" s="20" customFormat="1">
      <c r="A832" s="253"/>
      <c r="B832" s="231"/>
      <c r="C832" s="32" t="s">
        <v>47</v>
      </c>
      <c r="D832" s="77">
        <v>22020204</v>
      </c>
      <c r="E832" s="135" t="s">
        <v>780</v>
      </c>
      <c r="F832" s="136">
        <v>1008000</v>
      </c>
      <c r="G832" s="28">
        <v>1008000</v>
      </c>
      <c r="H832" s="28"/>
      <c r="I832" s="28"/>
      <c r="J832" s="28">
        <v>1008000</v>
      </c>
      <c r="K832" s="488">
        <f t="shared" ref="K832:K854" si="164">J832*4.38%</f>
        <v>44150.400000000001</v>
      </c>
      <c r="L832" s="469">
        <v>963849.60000000009</v>
      </c>
      <c r="M832" s="28">
        <v>1008000</v>
      </c>
      <c r="N832" s="28">
        <v>1008000</v>
      </c>
    </row>
    <row r="833" spans="1:14" s="20" customFormat="1">
      <c r="A833" s="253"/>
      <c r="B833" s="231"/>
      <c r="C833" s="32" t="s">
        <v>47</v>
      </c>
      <c r="D833" s="77">
        <v>22020301</v>
      </c>
      <c r="E833" s="135" t="s">
        <v>737</v>
      </c>
      <c r="F833" s="136">
        <v>115200</v>
      </c>
      <c r="G833" s="28">
        <v>115200</v>
      </c>
      <c r="H833" s="28"/>
      <c r="I833" s="28"/>
      <c r="J833" s="28">
        <v>115200</v>
      </c>
      <c r="K833" s="488">
        <f t="shared" si="164"/>
        <v>5045.76</v>
      </c>
      <c r="L833" s="469">
        <v>110154.24000000001</v>
      </c>
      <c r="M833" s="28">
        <v>115200</v>
      </c>
      <c r="N833" s="28">
        <v>115200</v>
      </c>
    </row>
    <row r="834" spans="1:14" s="20" customFormat="1">
      <c r="A834" s="253"/>
      <c r="B834" s="231"/>
      <c r="C834" s="32" t="s">
        <v>47</v>
      </c>
      <c r="D834" s="77">
        <v>22020315</v>
      </c>
      <c r="E834" s="135" t="s">
        <v>740</v>
      </c>
      <c r="F834" s="136">
        <v>2900000</v>
      </c>
      <c r="G834" s="28">
        <v>2900000</v>
      </c>
      <c r="H834" s="28"/>
      <c r="I834" s="28"/>
      <c r="J834" s="28">
        <v>2900000</v>
      </c>
      <c r="K834" s="488">
        <f t="shared" si="164"/>
        <v>127020</v>
      </c>
      <c r="L834" s="469">
        <v>2772980</v>
      </c>
      <c r="M834" s="28">
        <v>2900000</v>
      </c>
      <c r="N834" s="28">
        <v>2900000</v>
      </c>
    </row>
    <row r="835" spans="1:14" s="20" customFormat="1">
      <c r="A835" s="253"/>
      <c r="B835" s="231"/>
      <c r="C835" s="32" t="s">
        <v>47</v>
      </c>
      <c r="D835" s="77">
        <v>22020401</v>
      </c>
      <c r="E835" s="135" t="s">
        <v>741</v>
      </c>
      <c r="F835" s="136">
        <v>11100000</v>
      </c>
      <c r="G835" s="28">
        <v>2500000</v>
      </c>
      <c r="H835" s="28"/>
      <c r="I835" s="28"/>
      <c r="J835" s="28">
        <v>2500000</v>
      </c>
      <c r="K835" s="488">
        <f t="shared" si="164"/>
        <v>109500</v>
      </c>
      <c r="L835" s="469">
        <v>2390500</v>
      </c>
      <c r="M835" s="28">
        <v>11100000</v>
      </c>
      <c r="N835" s="28">
        <v>11100000</v>
      </c>
    </row>
    <row r="836" spans="1:14" s="20" customFormat="1">
      <c r="A836" s="253"/>
      <c r="B836" s="231"/>
      <c r="C836" s="32" t="s">
        <v>47</v>
      </c>
      <c r="D836" s="77">
        <v>22020402</v>
      </c>
      <c r="E836" s="135" t="s">
        <v>757</v>
      </c>
      <c r="F836" s="136">
        <v>1200000</v>
      </c>
      <c r="G836" s="28">
        <v>1200000</v>
      </c>
      <c r="H836" s="28"/>
      <c r="I836" s="28"/>
      <c r="J836" s="28">
        <v>1200000</v>
      </c>
      <c r="K836" s="488">
        <f t="shared" si="164"/>
        <v>52560</v>
      </c>
      <c r="L836" s="469">
        <v>1147440</v>
      </c>
      <c r="M836" s="28">
        <v>1200000</v>
      </c>
      <c r="N836" s="28">
        <v>1200000</v>
      </c>
    </row>
    <row r="837" spans="1:14" s="20" customFormat="1">
      <c r="A837" s="253"/>
      <c r="B837" s="231"/>
      <c r="C837" s="32" t="s">
        <v>47</v>
      </c>
      <c r="D837" s="77">
        <v>22020404</v>
      </c>
      <c r="E837" s="135" t="s">
        <v>742</v>
      </c>
      <c r="F837" s="136">
        <v>808500</v>
      </c>
      <c r="G837" s="28">
        <v>808500</v>
      </c>
      <c r="H837" s="28"/>
      <c r="I837" s="28"/>
      <c r="J837" s="28">
        <v>808500</v>
      </c>
      <c r="K837" s="488">
        <f t="shared" si="164"/>
        <v>35412.299999999996</v>
      </c>
      <c r="L837" s="469">
        <v>773087.70000000007</v>
      </c>
      <c r="M837" s="28">
        <v>808500</v>
      </c>
      <c r="N837" s="28">
        <v>808500</v>
      </c>
    </row>
    <row r="838" spans="1:14" s="20" customFormat="1">
      <c r="A838" s="253"/>
      <c r="B838" s="231"/>
      <c r="C838" s="32" t="s">
        <v>47</v>
      </c>
      <c r="D838" s="77">
        <v>22020405</v>
      </c>
      <c r="E838" s="135" t="s">
        <v>743</v>
      </c>
      <c r="F838" s="136">
        <v>3420000</v>
      </c>
      <c r="G838" s="28">
        <v>3420000</v>
      </c>
      <c r="H838" s="28"/>
      <c r="I838" s="28"/>
      <c r="J838" s="28">
        <v>3420000</v>
      </c>
      <c r="K838" s="488">
        <f t="shared" si="164"/>
        <v>149796</v>
      </c>
      <c r="L838" s="469">
        <v>3270204</v>
      </c>
      <c r="M838" s="28">
        <v>3420000</v>
      </c>
      <c r="N838" s="28">
        <v>3420000</v>
      </c>
    </row>
    <row r="839" spans="1:14" s="20" customFormat="1">
      <c r="A839" s="253"/>
      <c r="B839" s="231"/>
      <c r="C839" s="32" t="s">
        <v>47</v>
      </c>
      <c r="D839" s="77">
        <v>22020406</v>
      </c>
      <c r="E839" s="135" t="s">
        <v>758</v>
      </c>
      <c r="F839" s="136">
        <v>2258400</v>
      </c>
      <c r="G839" s="28">
        <v>2258400</v>
      </c>
      <c r="H839" s="28"/>
      <c r="I839" s="28"/>
      <c r="J839" s="28">
        <v>2258400</v>
      </c>
      <c r="K839" s="488">
        <f t="shared" si="164"/>
        <v>98917.92</v>
      </c>
      <c r="L839" s="469">
        <v>2159482.08</v>
      </c>
      <c r="M839" s="28">
        <v>2258400</v>
      </c>
      <c r="N839" s="28">
        <v>2258400</v>
      </c>
    </row>
    <row r="840" spans="1:14" s="20" customFormat="1">
      <c r="A840" s="253"/>
      <c r="B840" s="231"/>
      <c r="C840" s="32" t="s">
        <v>47</v>
      </c>
      <c r="D840" s="77">
        <v>22020414</v>
      </c>
      <c r="E840" s="135" t="s">
        <v>877</v>
      </c>
      <c r="F840" s="136">
        <v>400000</v>
      </c>
      <c r="G840" s="28">
        <v>0</v>
      </c>
      <c r="H840" s="28"/>
      <c r="I840" s="28"/>
      <c r="J840" s="28">
        <v>0</v>
      </c>
      <c r="K840" s="488">
        <f t="shared" si="164"/>
        <v>0</v>
      </c>
      <c r="L840" s="469">
        <v>0</v>
      </c>
      <c r="M840" s="28">
        <v>400000</v>
      </c>
      <c r="N840" s="28">
        <v>400000</v>
      </c>
    </row>
    <row r="841" spans="1:14" s="20" customFormat="1">
      <c r="A841" s="253"/>
      <c r="B841" s="231"/>
      <c r="C841" s="32" t="s">
        <v>47</v>
      </c>
      <c r="D841" s="77">
        <v>22020416</v>
      </c>
      <c r="E841" s="135" t="s">
        <v>782</v>
      </c>
      <c r="F841" s="136">
        <v>584500</v>
      </c>
      <c r="G841" s="28">
        <v>584500</v>
      </c>
      <c r="H841" s="28"/>
      <c r="I841" s="28"/>
      <c r="J841" s="28">
        <v>584500</v>
      </c>
      <c r="K841" s="488">
        <f t="shared" si="164"/>
        <v>25601.1</v>
      </c>
      <c r="L841" s="469">
        <v>558898.9</v>
      </c>
      <c r="M841" s="28">
        <v>584500</v>
      </c>
      <c r="N841" s="28">
        <v>584500</v>
      </c>
    </row>
    <row r="842" spans="1:14" s="20" customFormat="1">
      <c r="A842" s="253"/>
      <c r="B842" s="231"/>
      <c r="C842" s="32" t="s">
        <v>47</v>
      </c>
      <c r="D842" s="77">
        <v>22020605</v>
      </c>
      <c r="E842" s="135" t="s">
        <v>768</v>
      </c>
      <c r="F842" s="136">
        <v>3240000</v>
      </c>
      <c r="G842" s="28">
        <v>0</v>
      </c>
      <c r="H842" s="28"/>
      <c r="I842" s="28"/>
      <c r="J842" s="28">
        <v>0</v>
      </c>
      <c r="K842" s="488">
        <f t="shared" si="164"/>
        <v>0</v>
      </c>
      <c r="L842" s="469">
        <v>0</v>
      </c>
      <c r="M842" s="28">
        <v>3240000</v>
      </c>
      <c r="N842" s="28">
        <v>3240000</v>
      </c>
    </row>
    <row r="843" spans="1:14" s="20" customFormat="1">
      <c r="A843" s="253"/>
      <c r="B843" s="231"/>
      <c r="C843" s="32" t="s">
        <v>47</v>
      </c>
      <c r="D843" s="77">
        <v>22020706</v>
      </c>
      <c r="E843" s="135" t="s">
        <v>901</v>
      </c>
      <c r="F843" s="136">
        <v>13917300</v>
      </c>
      <c r="G843" s="28">
        <v>3917300</v>
      </c>
      <c r="H843" s="28"/>
      <c r="I843" s="28"/>
      <c r="J843" s="28">
        <v>3917300</v>
      </c>
      <c r="K843" s="488">
        <f t="shared" si="164"/>
        <v>171577.74</v>
      </c>
      <c r="L843" s="469">
        <v>3745722.2600000002</v>
      </c>
      <c r="M843" s="28">
        <v>13917300</v>
      </c>
      <c r="N843" s="28">
        <v>13917300</v>
      </c>
    </row>
    <row r="844" spans="1:14" s="20" customFormat="1">
      <c r="A844" s="253"/>
      <c r="B844" s="231"/>
      <c r="C844" s="32" t="s">
        <v>47</v>
      </c>
      <c r="D844" s="77">
        <v>22020801</v>
      </c>
      <c r="E844" s="135" t="s">
        <v>747</v>
      </c>
      <c r="F844" s="136">
        <v>4176000</v>
      </c>
      <c r="G844" s="28">
        <v>4176000</v>
      </c>
      <c r="H844" s="28"/>
      <c r="I844" s="28"/>
      <c r="J844" s="28">
        <v>4176000</v>
      </c>
      <c r="K844" s="488">
        <f t="shared" si="164"/>
        <v>182908.79999999999</v>
      </c>
      <c r="L844" s="469">
        <v>3993091.2</v>
      </c>
      <c r="M844" s="28">
        <v>4176000</v>
      </c>
      <c r="N844" s="28">
        <v>4176000</v>
      </c>
    </row>
    <row r="845" spans="1:14" s="20" customFormat="1">
      <c r="A845" s="253"/>
      <c r="B845" s="231"/>
      <c r="C845" s="32" t="s">
        <v>47</v>
      </c>
      <c r="D845" s="77">
        <v>22020803</v>
      </c>
      <c r="E845" s="135" t="s">
        <v>748</v>
      </c>
      <c r="F845" s="136">
        <v>9600000</v>
      </c>
      <c r="G845" s="28">
        <v>9600000</v>
      </c>
      <c r="H845" s="28"/>
      <c r="I845" s="28"/>
      <c r="J845" s="28">
        <v>9600000</v>
      </c>
      <c r="K845" s="488">
        <f t="shared" si="164"/>
        <v>420480</v>
      </c>
      <c r="L845" s="469">
        <v>9179520</v>
      </c>
      <c r="M845" s="28">
        <v>9600000</v>
      </c>
      <c r="N845" s="28">
        <v>9600000</v>
      </c>
    </row>
    <row r="846" spans="1:14" s="20" customFormat="1">
      <c r="A846" s="253"/>
      <c r="B846" s="231"/>
      <c r="C846" s="32" t="s">
        <v>47</v>
      </c>
      <c r="D846" s="77">
        <v>22020902</v>
      </c>
      <c r="E846" s="135" t="s">
        <v>853</v>
      </c>
      <c r="F846" s="136">
        <v>1800000</v>
      </c>
      <c r="G846" s="28">
        <v>300000000</v>
      </c>
      <c r="H846" s="28"/>
      <c r="I846" s="28"/>
      <c r="J846" s="28">
        <v>300000000</v>
      </c>
      <c r="K846" s="488">
        <f t="shared" si="164"/>
        <v>13140000</v>
      </c>
      <c r="L846" s="469">
        <v>286860000</v>
      </c>
      <c r="M846" s="28">
        <v>384772718.45500004</v>
      </c>
      <c r="N846" s="28">
        <v>384772718.45500004</v>
      </c>
    </row>
    <row r="847" spans="1:14" s="20" customFormat="1">
      <c r="A847" s="253"/>
      <c r="B847" s="231"/>
      <c r="C847" s="32" t="s">
        <v>47</v>
      </c>
      <c r="D847" s="77">
        <v>22021001</v>
      </c>
      <c r="E847" s="135" t="s">
        <v>772</v>
      </c>
      <c r="F847" s="136">
        <v>900000</v>
      </c>
      <c r="G847" s="28">
        <v>900000</v>
      </c>
      <c r="H847" s="28"/>
      <c r="I847" s="28"/>
      <c r="J847" s="28">
        <v>900000</v>
      </c>
      <c r="K847" s="488">
        <f t="shared" si="164"/>
        <v>39420</v>
      </c>
      <c r="L847" s="469">
        <v>860580</v>
      </c>
      <c r="M847" s="28">
        <v>900000</v>
      </c>
      <c r="N847" s="28">
        <v>900000</v>
      </c>
    </row>
    <row r="848" spans="1:14" s="20" customFormat="1">
      <c r="A848" s="253"/>
      <c r="B848" s="231"/>
      <c r="C848" s="32" t="s">
        <v>47</v>
      </c>
      <c r="D848" s="77">
        <v>22021003</v>
      </c>
      <c r="E848" s="135" t="s">
        <v>760</v>
      </c>
      <c r="F848" s="136">
        <v>6540000</v>
      </c>
      <c r="G848" s="28">
        <v>1000000</v>
      </c>
      <c r="H848" s="28"/>
      <c r="I848" s="28"/>
      <c r="J848" s="28">
        <v>1000000</v>
      </c>
      <c r="K848" s="488">
        <f t="shared" si="164"/>
        <v>43800</v>
      </c>
      <c r="L848" s="469">
        <v>956200</v>
      </c>
      <c r="M848" s="28">
        <v>6540000</v>
      </c>
      <c r="N848" s="28">
        <v>6540000</v>
      </c>
    </row>
    <row r="849" spans="1:14" s="20" customFormat="1">
      <c r="A849" s="253"/>
      <c r="B849" s="231"/>
      <c r="C849" s="32" t="s">
        <v>47</v>
      </c>
      <c r="D849" s="77">
        <v>22021006</v>
      </c>
      <c r="E849" s="135" t="s">
        <v>855</v>
      </c>
      <c r="F849" s="136">
        <v>300000</v>
      </c>
      <c r="G849" s="28">
        <v>0</v>
      </c>
      <c r="H849" s="28"/>
      <c r="I849" s="28"/>
      <c r="J849" s="28">
        <v>0</v>
      </c>
      <c r="K849" s="488">
        <f t="shared" si="164"/>
        <v>0</v>
      </c>
      <c r="L849" s="469">
        <v>0</v>
      </c>
      <c r="M849" s="28">
        <v>300000</v>
      </c>
      <c r="N849" s="28">
        <v>300000</v>
      </c>
    </row>
    <row r="850" spans="1:14" s="20" customFormat="1">
      <c r="A850" s="253"/>
      <c r="B850" s="231"/>
      <c r="C850" s="32" t="s">
        <v>47</v>
      </c>
      <c r="D850" s="77">
        <v>22021013</v>
      </c>
      <c r="E850" s="135" t="s">
        <v>902</v>
      </c>
      <c r="F850" s="136">
        <v>1376500</v>
      </c>
      <c r="G850" s="28">
        <v>1376500</v>
      </c>
      <c r="H850" s="28"/>
      <c r="I850" s="28"/>
      <c r="J850" s="28">
        <v>1376500</v>
      </c>
      <c r="K850" s="488">
        <f t="shared" si="164"/>
        <v>60290.7</v>
      </c>
      <c r="L850" s="469">
        <v>1316209.3</v>
      </c>
      <c r="M850" s="28">
        <v>1376500</v>
      </c>
      <c r="N850" s="28">
        <v>1376500</v>
      </c>
    </row>
    <row r="851" spans="1:14" s="20" customFormat="1">
      <c r="A851" s="253"/>
      <c r="B851" s="231"/>
      <c r="C851" s="32" t="s">
        <v>47</v>
      </c>
      <c r="D851" s="77">
        <v>22021026</v>
      </c>
      <c r="E851" s="135" t="s">
        <v>751</v>
      </c>
      <c r="F851" s="136">
        <v>1500000</v>
      </c>
      <c r="G851" s="28">
        <v>1500000</v>
      </c>
      <c r="H851" s="28"/>
      <c r="I851" s="28"/>
      <c r="J851" s="28">
        <v>1500000</v>
      </c>
      <c r="K851" s="488">
        <f t="shared" si="164"/>
        <v>65700</v>
      </c>
      <c r="L851" s="469">
        <v>1434300</v>
      </c>
      <c r="M851" s="28">
        <v>1500000</v>
      </c>
      <c r="N851" s="28">
        <v>1500000</v>
      </c>
    </row>
    <row r="852" spans="1:14" s="20" customFormat="1">
      <c r="A852" s="253"/>
      <c r="B852" s="231"/>
      <c r="C852" s="32" t="s">
        <v>47</v>
      </c>
      <c r="D852" s="406" t="s">
        <v>903</v>
      </c>
      <c r="E852" s="407" t="s">
        <v>2168</v>
      </c>
      <c r="F852" s="136">
        <v>500000000</v>
      </c>
      <c r="G852" s="28">
        <f>500000000+500000000</f>
        <v>1000000000</v>
      </c>
      <c r="H852" s="28"/>
      <c r="I852" s="28">
        <v>500000000</v>
      </c>
      <c r="J852" s="28">
        <v>500000000</v>
      </c>
      <c r="K852" s="488">
        <f t="shared" si="164"/>
        <v>21900000</v>
      </c>
      <c r="L852" s="469">
        <v>478100000</v>
      </c>
      <c r="M852" s="28">
        <f>G852*10%+G852</f>
        <v>1100000000</v>
      </c>
      <c r="N852" s="28">
        <f>M852*10%+M852</f>
        <v>1210000000</v>
      </c>
    </row>
    <row r="853" spans="1:14" s="20" customFormat="1">
      <c r="A853" s="253"/>
      <c r="B853" s="231"/>
      <c r="C853" s="32" t="s">
        <v>47</v>
      </c>
      <c r="D853" s="450"/>
      <c r="E853" s="240" t="s">
        <v>2610</v>
      </c>
      <c r="F853" s="138"/>
      <c r="G853" s="297"/>
      <c r="H853" s="297">
        <v>250000000</v>
      </c>
      <c r="I853" s="297"/>
      <c r="J853" s="28">
        <v>250000000</v>
      </c>
      <c r="K853" s="488">
        <f t="shared" si="164"/>
        <v>10950000</v>
      </c>
      <c r="L853" s="469">
        <v>239050000</v>
      </c>
      <c r="M853" s="297"/>
      <c r="N853" s="297"/>
    </row>
    <row r="854" spans="1:14" s="20" customFormat="1">
      <c r="A854" s="238"/>
      <c r="B854" s="231"/>
      <c r="C854" s="30" t="s">
        <v>1839</v>
      </c>
      <c r="D854" s="23"/>
      <c r="E854" s="25"/>
      <c r="F854" s="137">
        <f>SUM(F831:F852)</f>
        <v>573582400</v>
      </c>
      <c r="G854" s="114">
        <f>SUM(G831:G853)</f>
        <v>1343702400</v>
      </c>
      <c r="H854" s="114">
        <f t="shared" ref="H854:I854" si="165">SUM(H831:H853)</f>
        <v>250000000</v>
      </c>
      <c r="I854" s="114">
        <f t="shared" si="165"/>
        <v>500000000</v>
      </c>
      <c r="J854" s="114">
        <f>SUM(J831:J853)</f>
        <v>1093702400</v>
      </c>
      <c r="K854" s="490">
        <f t="shared" si="164"/>
        <v>47904165.119999997</v>
      </c>
      <c r="L854" s="468">
        <f>SUM(L831:L853)</f>
        <v>1045798234.88</v>
      </c>
      <c r="M854" s="114">
        <f>SUM(M831:M852)</f>
        <v>1556555118.4549999</v>
      </c>
      <c r="N854" s="114">
        <f>SUM(N831:N852)</f>
        <v>1666555118.4549999</v>
      </c>
    </row>
    <row r="855" spans="1:14" s="66" customFormat="1" ht="30">
      <c r="A855" s="238" t="s">
        <v>900</v>
      </c>
      <c r="B855" s="231" t="s">
        <v>1872</v>
      </c>
      <c r="C855" s="30"/>
      <c r="D855" s="23"/>
      <c r="E855" s="25"/>
      <c r="F855" s="137">
        <f>F854+F830</f>
        <v>877577624.24800014</v>
      </c>
      <c r="G855" s="114">
        <f>G854+G830</f>
        <v>1647697624.2480001</v>
      </c>
      <c r="H855" s="114">
        <f t="shared" ref="H855:I855" si="166">H854+H830</f>
        <v>250000000</v>
      </c>
      <c r="I855" s="114">
        <f t="shared" si="166"/>
        <v>500000000</v>
      </c>
      <c r="J855" s="114">
        <f>J854+J830</f>
        <v>1397697624.2480001</v>
      </c>
      <c r="K855" s="490"/>
      <c r="L855" s="468">
        <f>L854+L830</f>
        <v>1349793459.128</v>
      </c>
      <c r="M855" s="114">
        <f>M854+M830</f>
        <v>1890949865.1278</v>
      </c>
      <c r="N855" s="114">
        <f>N854+N830</f>
        <v>2034389339.7950799</v>
      </c>
    </row>
    <row r="856" spans="1:14" s="20" customFormat="1" ht="21">
      <c r="A856" s="252"/>
      <c r="B856" s="443"/>
      <c r="C856" s="228"/>
      <c r="D856" s="229"/>
      <c r="E856" s="230"/>
      <c r="F856" s="215"/>
      <c r="G856" s="296"/>
      <c r="H856" s="296"/>
      <c r="I856" s="296"/>
      <c r="J856" s="28"/>
      <c r="K856" s="488"/>
      <c r="L856" s="468"/>
      <c r="M856" s="296"/>
      <c r="N856" s="296"/>
    </row>
    <row r="857" spans="1:14" s="20" customFormat="1" ht="30">
      <c r="A857" s="238" t="s">
        <v>904</v>
      </c>
      <c r="B857" s="231" t="s">
        <v>1873</v>
      </c>
      <c r="C857" s="32" t="s">
        <v>46</v>
      </c>
      <c r="D857" s="77">
        <v>21010104</v>
      </c>
      <c r="E857" s="135" t="s">
        <v>905</v>
      </c>
      <c r="F857" s="136">
        <v>15367538</v>
      </c>
      <c r="G857" s="28">
        <v>15367538</v>
      </c>
      <c r="H857" s="28"/>
      <c r="I857" s="28"/>
      <c r="J857" s="28">
        <v>15367538</v>
      </c>
      <c r="K857" s="488"/>
      <c r="L857" s="467">
        <v>15367538</v>
      </c>
      <c r="M857" s="28">
        <f t="shared" ref="M857:M871" si="167">G857*10%+G857</f>
        <v>16904291.800000001</v>
      </c>
      <c r="N857" s="28">
        <f>M857*10%+M857</f>
        <v>18594720.98</v>
      </c>
    </row>
    <row r="858" spans="1:14" s="20" customFormat="1">
      <c r="A858" s="253"/>
      <c r="B858" s="231"/>
      <c r="C858" s="32" t="s">
        <v>46</v>
      </c>
      <c r="D858" s="77">
        <v>21010105</v>
      </c>
      <c r="E858" s="135" t="s">
        <v>906</v>
      </c>
      <c r="F858" s="136">
        <v>14000000</v>
      </c>
      <c r="G858" s="28">
        <v>14000000</v>
      </c>
      <c r="H858" s="28"/>
      <c r="I858" s="28"/>
      <c r="J858" s="28">
        <v>14000000</v>
      </c>
      <c r="K858" s="488"/>
      <c r="L858" s="467">
        <v>14000000</v>
      </c>
      <c r="M858" s="28">
        <f t="shared" si="167"/>
        <v>15400000</v>
      </c>
      <c r="N858" s="28">
        <f t="shared" ref="N858:N872" si="168">M858*10%+M858</f>
        <v>16940000</v>
      </c>
    </row>
    <row r="859" spans="1:14" s="20" customFormat="1">
      <c r="A859" s="253"/>
      <c r="B859" s="231"/>
      <c r="C859" s="32" t="s">
        <v>46</v>
      </c>
      <c r="D859" s="77">
        <v>21010106</v>
      </c>
      <c r="E859" s="135" t="s">
        <v>907</v>
      </c>
      <c r="F859" s="136">
        <v>6000000</v>
      </c>
      <c r="G859" s="28">
        <v>6000000</v>
      </c>
      <c r="H859" s="28"/>
      <c r="I859" s="28"/>
      <c r="J859" s="28">
        <v>6000000</v>
      </c>
      <c r="K859" s="488"/>
      <c r="L859" s="467">
        <v>6000000</v>
      </c>
      <c r="M859" s="28">
        <f t="shared" si="167"/>
        <v>6600000</v>
      </c>
      <c r="N859" s="28">
        <f t="shared" si="168"/>
        <v>7260000</v>
      </c>
    </row>
    <row r="860" spans="1:14" s="20" customFormat="1">
      <c r="A860" s="253"/>
      <c r="B860" s="231"/>
      <c r="C860" s="32" t="s">
        <v>46</v>
      </c>
      <c r="D860" s="77">
        <v>21010107</v>
      </c>
      <c r="E860" s="135" t="s">
        <v>1719</v>
      </c>
      <c r="F860" s="136">
        <v>66000000</v>
      </c>
      <c r="G860" s="28">
        <v>56000000</v>
      </c>
      <c r="H860" s="28"/>
      <c r="I860" s="28"/>
      <c r="J860" s="28">
        <v>56000000</v>
      </c>
      <c r="K860" s="488"/>
      <c r="L860" s="467">
        <v>56000000</v>
      </c>
      <c r="M860" s="28">
        <f t="shared" si="167"/>
        <v>61600000</v>
      </c>
      <c r="N860" s="28">
        <f t="shared" si="168"/>
        <v>67760000</v>
      </c>
    </row>
    <row r="861" spans="1:14" s="20" customFormat="1">
      <c r="A861" s="253"/>
      <c r="B861" s="231"/>
      <c r="C861" s="32" t="s">
        <v>46</v>
      </c>
      <c r="D861" s="77">
        <v>21010108</v>
      </c>
      <c r="E861" s="135" t="s">
        <v>1720</v>
      </c>
      <c r="F861" s="136">
        <v>25000000</v>
      </c>
      <c r="G861" s="28">
        <v>25000000</v>
      </c>
      <c r="H861" s="28"/>
      <c r="I861" s="28"/>
      <c r="J861" s="28">
        <v>25000000</v>
      </c>
      <c r="K861" s="488"/>
      <c r="L861" s="467">
        <v>25000000</v>
      </c>
      <c r="M861" s="28">
        <f t="shared" si="167"/>
        <v>27500000</v>
      </c>
      <c r="N861" s="28">
        <f t="shared" si="168"/>
        <v>30250000</v>
      </c>
    </row>
    <row r="862" spans="1:14" s="20" customFormat="1">
      <c r="A862" s="253"/>
      <c r="B862" s="231"/>
      <c r="C862" s="32" t="s">
        <v>46</v>
      </c>
      <c r="D862" s="77">
        <v>21010109</v>
      </c>
      <c r="E862" s="135" t="s">
        <v>1721</v>
      </c>
      <c r="F862" s="136">
        <v>25000000</v>
      </c>
      <c r="G862" s="28">
        <v>25000000</v>
      </c>
      <c r="H862" s="28"/>
      <c r="I862" s="28"/>
      <c r="J862" s="28">
        <v>25000000</v>
      </c>
      <c r="K862" s="488"/>
      <c r="L862" s="467">
        <v>25000000</v>
      </c>
      <c r="M862" s="28">
        <f t="shared" si="167"/>
        <v>27500000</v>
      </c>
      <c r="N862" s="28">
        <f t="shared" si="168"/>
        <v>30250000</v>
      </c>
    </row>
    <row r="863" spans="1:14" s="20" customFormat="1">
      <c r="A863" s="253"/>
      <c r="B863" s="231"/>
      <c r="C863" s="32" t="s">
        <v>46</v>
      </c>
      <c r="D863" s="77">
        <v>21010110</v>
      </c>
      <c r="E863" s="135" t="s">
        <v>908</v>
      </c>
      <c r="F863" s="136">
        <v>52000000</v>
      </c>
      <c r="G863" s="28">
        <v>52000000</v>
      </c>
      <c r="H863" s="28"/>
      <c r="I863" s="28"/>
      <c r="J863" s="28">
        <v>52000000</v>
      </c>
      <c r="K863" s="488"/>
      <c r="L863" s="467">
        <v>52000000</v>
      </c>
      <c r="M863" s="28">
        <f t="shared" si="167"/>
        <v>57200000</v>
      </c>
      <c r="N863" s="28">
        <f t="shared" si="168"/>
        <v>62920000</v>
      </c>
    </row>
    <row r="864" spans="1:14" s="20" customFormat="1">
      <c r="A864" s="253"/>
      <c r="B864" s="231"/>
      <c r="C864" s="32" t="s">
        <v>46</v>
      </c>
      <c r="D864" s="77">
        <v>21010111</v>
      </c>
      <c r="E864" s="135" t="s">
        <v>909</v>
      </c>
      <c r="F864" s="136">
        <v>140000000</v>
      </c>
      <c r="G864" s="28">
        <v>140000000</v>
      </c>
      <c r="H864" s="28"/>
      <c r="I864" s="28"/>
      <c r="J864" s="28">
        <v>140000000</v>
      </c>
      <c r="K864" s="488"/>
      <c r="L864" s="467">
        <v>140000000</v>
      </c>
      <c r="M864" s="28">
        <f t="shared" si="167"/>
        <v>154000000</v>
      </c>
      <c r="N864" s="28">
        <f t="shared" si="168"/>
        <v>169400000</v>
      </c>
    </row>
    <row r="865" spans="1:14" s="20" customFormat="1">
      <c r="A865" s="253"/>
      <c r="B865" s="231"/>
      <c r="C865" s="32" t="s">
        <v>46</v>
      </c>
      <c r="D865" s="77">
        <v>21010112</v>
      </c>
      <c r="E865" s="135" t="s">
        <v>910</v>
      </c>
      <c r="F865" s="136">
        <v>50000000</v>
      </c>
      <c r="G865" s="28">
        <v>50000000</v>
      </c>
      <c r="H865" s="28"/>
      <c r="I865" s="28"/>
      <c r="J865" s="28">
        <v>50000000</v>
      </c>
      <c r="K865" s="488"/>
      <c r="L865" s="467">
        <v>50000000</v>
      </c>
      <c r="M865" s="28">
        <f t="shared" si="167"/>
        <v>55000000</v>
      </c>
      <c r="N865" s="28">
        <f t="shared" si="168"/>
        <v>60500000</v>
      </c>
    </row>
    <row r="866" spans="1:14" s="20" customFormat="1">
      <c r="A866" s="253"/>
      <c r="B866" s="231"/>
      <c r="C866" s="32" t="s">
        <v>46</v>
      </c>
      <c r="D866" s="77">
        <v>21010113</v>
      </c>
      <c r="E866" s="135" t="s">
        <v>911</v>
      </c>
      <c r="F866" s="136">
        <v>107016426</v>
      </c>
      <c r="G866" s="28">
        <v>50000000</v>
      </c>
      <c r="H866" s="28"/>
      <c r="I866" s="28"/>
      <c r="J866" s="28">
        <v>50000000</v>
      </c>
      <c r="K866" s="488"/>
      <c r="L866" s="467">
        <v>50000000</v>
      </c>
      <c r="M866" s="28">
        <f t="shared" si="167"/>
        <v>55000000</v>
      </c>
      <c r="N866" s="28">
        <f t="shared" si="168"/>
        <v>60500000</v>
      </c>
    </row>
    <row r="867" spans="1:14" s="20" customFormat="1">
      <c r="A867" s="253"/>
      <c r="B867" s="231"/>
      <c r="C867" s="32" t="s">
        <v>46</v>
      </c>
      <c r="D867" s="77">
        <v>21010114</v>
      </c>
      <c r="E867" s="135" t="s">
        <v>912</v>
      </c>
      <c r="F867" s="136">
        <v>6000000</v>
      </c>
      <c r="G867" s="28">
        <v>6000000</v>
      </c>
      <c r="H867" s="28"/>
      <c r="I867" s="28"/>
      <c r="J867" s="28">
        <v>6000000</v>
      </c>
      <c r="K867" s="488"/>
      <c r="L867" s="467">
        <v>6000000</v>
      </c>
      <c r="M867" s="28">
        <f t="shared" si="167"/>
        <v>6600000</v>
      </c>
      <c r="N867" s="28">
        <f t="shared" si="168"/>
        <v>7260000</v>
      </c>
    </row>
    <row r="868" spans="1:14" s="20" customFormat="1">
      <c r="A868" s="253"/>
      <c r="B868" s="231"/>
      <c r="C868" s="32" t="s">
        <v>46</v>
      </c>
      <c r="D868" s="77">
        <v>21010115</v>
      </c>
      <c r="E868" s="135" t="s">
        <v>1722</v>
      </c>
      <c r="F868" s="136">
        <v>40000000</v>
      </c>
      <c r="G868" s="28">
        <v>40000000</v>
      </c>
      <c r="H868" s="28"/>
      <c r="I868" s="28"/>
      <c r="J868" s="28">
        <v>40000000</v>
      </c>
      <c r="K868" s="488"/>
      <c r="L868" s="467">
        <v>40000000</v>
      </c>
      <c r="M868" s="28">
        <f t="shared" si="167"/>
        <v>44000000</v>
      </c>
      <c r="N868" s="28">
        <f t="shared" si="168"/>
        <v>48400000</v>
      </c>
    </row>
    <row r="869" spans="1:14" s="20" customFormat="1">
      <c r="A869" s="253"/>
      <c r="B869" s="231"/>
      <c r="C869" s="32" t="s">
        <v>46</v>
      </c>
      <c r="D869" s="77">
        <v>21010116</v>
      </c>
      <c r="E869" s="135" t="s">
        <v>1723</v>
      </c>
      <c r="F869" s="136">
        <v>46000000</v>
      </c>
      <c r="G869" s="28">
        <v>46000000</v>
      </c>
      <c r="H869" s="28"/>
      <c r="I869" s="28"/>
      <c r="J869" s="28">
        <v>46000000</v>
      </c>
      <c r="K869" s="488"/>
      <c r="L869" s="467">
        <v>46000000</v>
      </c>
      <c r="M869" s="28">
        <f t="shared" si="167"/>
        <v>50600000</v>
      </c>
      <c r="N869" s="28">
        <f t="shared" si="168"/>
        <v>55660000</v>
      </c>
    </row>
    <row r="870" spans="1:14" s="20" customFormat="1">
      <c r="A870" s="253"/>
      <c r="B870" s="231"/>
      <c r="C870" s="32" t="s">
        <v>46</v>
      </c>
      <c r="D870" s="77">
        <v>21010117</v>
      </c>
      <c r="E870" s="135" t="s">
        <v>913</v>
      </c>
      <c r="F870" s="136">
        <v>24000000</v>
      </c>
      <c r="G870" s="28">
        <v>24000000</v>
      </c>
      <c r="H870" s="28"/>
      <c r="I870" s="28"/>
      <c r="J870" s="28">
        <v>24000000</v>
      </c>
      <c r="K870" s="488"/>
      <c r="L870" s="467">
        <v>24000000</v>
      </c>
      <c r="M870" s="28">
        <f t="shared" si="167"/>
        <v>26400000</v>
      </c>
      <c r="N870" s="28">
        <f t="shared" si="168"/>
        <v>29040000</v>
      </c>
    </row>
    <row r="871" spans="1:14" s="20" customFormat="1" ht="45">
      <c r="A871" s="253"/>
      <c r="B871" s="231"/>
      <c r="C871" s="430" t="s">
        <v>46</v>
      </c>
      <c r="D871" s="450">
        <v>21020127</v>
      </c>
      <c r="E871" s="240" t="s">
        <v>2188</v>
      </c>
      <c r="F871" s="138"/>
      <c r="G871" s="297"/>
      <c r="H871" s="297">
        <v>750000000</v>
      </c>
      <c r="I871" s="297"/>
      <c r="J871" s="28">
        <v>750000000</v>
      </c>
      <c r="K871" s="488"/>
      <c r="L871" s="467">
        <v>750000000</v>
      </c>
      <c r="M871" s="297">
        <f t="shared" si="167"/>
        <v>0</v>
      </c>
      <c r="N871" s="297">
        <f t="shared" si="168"/>
        <v>0</v>
      </c>
    </row>
    <row r="872" spans="1:14" s="20" customFormat="1">
      <c r="A872" s="238"/>
      <c r="B872" s="231"/>
      <c r="C872" s="30" t="s">
        <v>1836</v>
      </c>
      <c r="D872" s="23"/>
      <c r="E872" s="25"/>
      <c r="F872" s="137">
        <f>SUM(F857:F870)</f>
        <v>616383964</v>
      </c>
      <c r="G872" s="114">
        <f ca="1">SUM(G857:G915)</f>
        <v>549367538</v>
      </c>
      <c r="H872" s="114">
        <f ca="1">SUM(H857:H915)</f>
        <v>1070000000</v>
      </c>
      <c r="I872" s="114">
        <f ca="1">SUM(I857:I915)</f>
        <v>0</v>
      </c>
      <c r="J872" s="114">
        <f>SUM(J857:J871)</f>
        <v>1299367538</v>
      </c>
      <c r="K872" s="490"/>
      <c r="L872" s="468">
        <f>SUM(L857:L871)</f>
        <v>1299367538</v>
      </c>
      <c r="M872" s="114">
        <f>SUM(M857:M870)</f>
        <v>604304291.79999995</v>
      </c>
      <c r="N872" s="114">
        <f t="shared" si="168"/>
        <v>664734720.9799999</v>
      </c>
    </row>
    <row r="873" spans="1:14" s="20" customFormat="1">
      <c r="A873" s="253"/>
      <c r="B873" s="231"/>
      <c r="C873" s="32" t="s">
        <v>47</v>
      </c>
      <c r="D873" s="77">
        <v>21020203</v>
      </c>
      <c r="E873" s="135" t="s">
        <v>914</v>
      </c>
      <c r="F873" s="136">
        <v>420000000</v>
      </c>
      <c r="G873" s="28">
        <v>420000000</v>
      </c>
      <c r="H873" s="28"/>
      <c r="I873" s="28"/>
      <c r="J873" s="28">
        <v>420000000</v>
      </c>
      <c r="K873" s="488">
        <f>J873*4.38%</f>
        <v>18396000</v>
      </c>
      <c r="L873" s="469">
        <v>401604000</v>
      </c>
      <c r="M873" s="28">
        <v>420000000</v>
      </c>
      <c r="N873" s="28">
        <v>420000000</v>
      </c>
    </row>
    <row r="874" spans="1:14" s="20" customFormat="1">
      <c r="A874" s="253"/>
      <c r="B874" s="231"/>
      <c r="C874" s="32" t="s">
        <v>47</v>
      </c>
      <c r="D874" s="77">
        <v>22010101</v>
      </c>
      <c r="E874" s="135" t="s">
        <v>915</v>
      </c>
      <c r="F874" s="136">
        <v>15791701796.869999</v>
      </c>
      <c r="G874" s="28">
        <v>11000000000</v>
      </c>
      <c r="H874" s="28"/>
      <c r="I874" s="28">
        <v>1000000000</v>
      </c>
      <c r="J874" s="28">
        <v>10000000000</v>
      </c>
      <c r="K874" s="488">
        <f t="shared" ref="K874:K915" si="169">J874*4.38%</f>
        <v>438000000</v>
      </c>
      <c r="L874" s="469">
        <v>9562000000</v>
      </c>
      <c r="M874" s="28">
        <v>0</v>
      </c>
      <c r="N874" s="28">
        <v>0</v>
      </c>
    </row>
    <row r="875" spans="1:14" s="20" customFormat="1">
      <c r="A875" s="253"/>
      <c r="B875" s="231"/>
      <c r="C875" s="32" t="s">
        <v>47</v>
      </c>
      <c r="D875" s="77">
        <v>22010102</v>
      </c>
      <c r="E875" s="135" t="s">
        <v>916</v>
      </c>
      <c r="F875" s="136">
        <v>4440000000</v>
      </c>
      <c r="G875" s="28">
        <v>4440000000</v>
      </c>
      <c r="H875" s="28"/>
      <c r="I875" s="28"/>
      <c r="J875" s="28">
        <v>4440000000</v>
      </c>
      <c r="K875" s="488">
        <f t="shared" si="169"/>
        <v>194472000</v>
      </c>
      <c r="L875" s="469">
        <v>4245528000</v>
      </c>
      <c r="M875" s="28">
        <v>0</v>
      </c>
      <c r="N875" s="28">
        <v>0</v>
      </c>
    </row>
    <row r="876" spans="1:14" s="20" customFormat="1">
      <c r="A876" s="253"/>
      <c r="B876" s="231"/>
      <c r="C876" s="32" t="s">
        <v>47</v>
      </c>
      <c r="D876" s="77">
        <v>22020105</v>
      </c>
      <c r="E876" s="135" t="s">
        <v>1733</v>
      </c>
      <c r="F876" s="136">
        <v>14612000</v>
      </c>
      <c r="G876" s="28">
        <v>7500000</v>
      </c>
      <c r="H876" s="28"/>
      <c r="I876" s="28"/>
      <c r="J876" s="28">
        <v>7500000</v>
      </c>
      <c r="K876" s="488">
        <f t="shared" si="169"/>
        <v>328500</v>
      </c>
      <c r="L876" s="469">
        <v>7171500</v>
      </c>
      <c r="M876" s="28">
        <v>14612000</v>
      </c>
      <c r="N876" s="28">
        <v>14612000</v>
      </c>
    </row>
    <row r="877" spans="1:14" s="20" customFormat="1">
      <c r="A877" s="253"/>
      <c r="B877" s="231"/>
      <c r="C877" s="32" t="s">
        <v>47</v>
      </c>
      <c r="D877" s="77">
        <v>22020106</v>
      </c>
      <c r="E877" s="135" t="s">
        <v>846</v>
      </c>
      <c r="F877" s="136">
        <v>206400000</v>
      </c>
      <c r="G877" s="28">
        <v>120000000</v>
      </c>
      <c r="H877" s="28"/>
      <c r="I877" s="28"/>
      <c r="J877" s="28">
        <v>120000000</v>
      </c>
      <c r="K877" s="488">
        <f t="shared" si="169"/>
        <v>5256000</v>
      </c>
      <c r="L877" s="469">
        <v>114744000</v>
      </c>
      <c r="M877" s="28">
        <v>206400000</v>
      </c>
      <c r="N877" s="28">
        <v>206400000</v>
      </c>
    </row>
    <row r="878" spans="1:14" s="20" customFormat="1">
      <c r="A878" s="253"/>
      <c r="B878" s="231"/>
      <c r="C878" s="32" t="s">
        <v>47</v>
      </c>
      <c r="D878" s="77">
        <v>22020107</v>
      </c>
      <c r="E878" s="135" t="s">
        <v>1724</v>
      </c>
      <c r="F878" s="136">
        <v>520000000</v>
      </c>
      <c r="G878" s="28">
        <v>85000000</v>
      </c>
      <c r="H878" s="28"/>
      <c r="I878" s="28"/>
      <c r="J878" s="28">
        <v>85000000</v>
      </c>
      <c r="K878" s="488">
        <f t="shared" si="169"/>
        <v>3723000</v>
      </c>
      <c r="L878" s="469">
        <v>81277000</v>
      </c>
      <c r="M878" s="28">
        <v>520000000</v>
      </c>
      <c r="N878" s="28">
        <v>520000000</v>
      </c>
    </row>
    <row r="879" spans="1:14" s="20" customFormat="1">
      <c r="A879" s="253"/>
      <c r="B879" s="231"/>
      <c r="C879" s="32" t="s">
        <v>47</v>
      </c>
      <c r="D879" s="77">
        <v>22020112</v>
      </c>
      <c r="E879" s="135" t="s">
        <v>848</v>
      </c>
      <c r="F879" s="136">
        <v>9408000</v>
      </c>
      <c r="G879" s="28">
        <v>24000000</v>
      </c>
      <c r="H879" s="28"/>
      <c r="I879" s="28"/>
      <c r="J879" s="28">
        <v>24000000</v>
      </c>
      <c r="K879" s="488">
        <f t="shared" si="169"/>
        <v>1051200</v>
      </c>
      <c r="L879" s="469">
        <v>22948800</v>
      </c>
      <c r="M879" s="28">
        <v>9408000</v>
      </c>
      <c r="N879" s="28">
        <v>9408000</v>
      </c>
    </row>
    <row r="880" spans="1:14" s="20" customFormat="1">
      <c r="A880" s="253"/>
      <c r="B880" s="231"/>
      <c r="C880" s="32" t="s">
        <v>47</v>
      </c>
      <c r="D880" s="77">
        <v>22020115</v>
      </c>
      <c r="E880" s="135" t="s">
        <v>1725</v>
      </c>
      <c r="F880" s="136">
        <v>99168000</v>
      </c>
      <c r="G880" s="28">
        <v>99168000</v>
      </c>
      <c r="H880" s="28"/>
      <c r="I880" s="28"/>
      <c r="J880" s="28">
        <v>99168000</v>
      </c>
      <c r="K880" s="488">
        <f t="shared" si="169"/>
        <v>4343558.3999999994</v>
      </c>
      <c r="L880" s="469">
        <v>94824441.600000009</v>
      </c>
      <c r="M880" s="28">
        <v>99168000</v>
      </c>
      <c r="N880" s="28">
        <v>99168000</v>
      </c>
    </row>
    <row r="881" spans="1:14" s="20" customFormat="1">
      <c r="A881" s="253"/>
      <c r="B881" s="231"/>
      <c r="C881" s="32" t="s">
        <v>47</v>
      </c>
      <c r="D881" s="77">
        <v>22020201</v>
      </c>
      <c r="E881" s="135" t="s">
        <v>849</v>
      </c>
      <c r="F881" s="136">
        <v>1200000000</v>
      </c>
      <c r="G881" s="28">
        <v>800000000</v>
      </c>
      <c r="H881" s="28"/>
      <c r="I881" s="28"/>
      <c r="J881" s="28">
        <v>800000000</v>
      </c>
      <c r="K881" s="488">
        <f t="shared" si="169"/>
        <v>35040000</v>
      </c>
      <c r="L881" s="469">
        <v>764960000</v>
      </c>
      <c r="M881" s="28">
        <v>1200000000</v>
      </c>
      <c r="N881" s="28">
        <v>1200000000</v>
      </c>
    </row>
    <row r="882" spans="1:14" s="20" customFormat="1">
      <c r="A882" s="253"/>
      <c r="B882" s="231"/>
      <c r="C882" s="32" t="s">
        <v>47</v>
      </c>
      <c r="D882" s="77">
        <v>22020203</v>
      </c>
      <c r="E882" s="135" t="s">
        <v>779</v>
      </c>
      <c r="F882" s="136">
        <v>26600000</v>
      </c>
      <c r="G882" s="28">
        <v>26600000</v>
      </c>
      <c r="H882" s="28"/>
      <c r="I882" s="28"/>
      <c r="J882" s="28">
        <v>26600000</v>
      </c>
      <c r="K882" s="488">
        <f t="shared" si="169"/>
        <v>1165080</v>
      </c>
      <c r="L882" s="469">
        <v>25434920</v>
      </c>
      <c r="M882" s="28">
        <v>26600000</v>
      </c>
      <c r="N882" s="28">
        <v>26600000</v>
      </c>
    </row>
    <row r="883" spans="1:14" s="20" customFormat="1">
      <c r="A883" s="253"/>
      <c r="B883" s="231"/>
      <c r="C883" s="32" t="s">
        <v>47</v>
      </c>
      <c r="D883" s="77">
        <v>22020205</v>
      </c>
      <c r="E883" s="135" t="s">
        <v>850</v>
      </c>
      <c r="F883" s="136">
        <v>216000000</v>
      </c>
      <c r="G883" s="28">
        <v>150000000</v>
      </c>
      <c r="H883" s="28"/>
      <c r="I883" s="28"/>
      <c r="J883" s="28">
        <v>150000000</v>
      </c>
      <c r="K883" s="488">
        <f t="shared" si="169"/>
        <v>6570000</v>
      </c>
      <c r="L883" s="469">
        <v>143430000</v>
      </c>
      <c r="M883" s="28">
        <v>216000000</v>
      </c>
      <c r="N883" s="28">
        <v>216000000</v>
      </c>
    </row>
    <row r="884" spans="1:14" s="20" customFormat="1">
      <c r="A884" s="253"/>
      <c r="B884" s="231"/>
      <c r="C884" s="32" t="s">
        <v>47</v>
      </c>
      <c r="D884" s="77">
        <v>22020208</v>
      </c>
      <c r="E884" s="135" t="s">
        <v>799</v>
      </c>
      <c r="F884" s="136">
        <v>500000</v>
      </c>
      <c r="G884" s="28">
        <v>500000</v>
      </c>
      <c r="H884" s="28"/>
      <c r="I884" s="28"/>
      <c r="J884" s="28">
        <v>500000</v>
      </c>
      <c r="K884" s="488">
        <f t="shared" si="169"/>
        <v>21900</v>
      </c>
      <c r="L884" s="469">
        <v>478100</v>
      </c>
      <c r="M884" s="28">
        <v>500000</v>
      </c>
      <c r="N884" s="28">
        <v>500000</v>
      </c>
    </row>
    <row r="885" spans="1:14" s="20" customFormat="1">
      <c r="A885" s="253"/>
      <c r="B885" s="231"/>
      <c r="C885" s="32" t="s">
        <v>47</v>
      </c>
      <c r="D885" s="77">
        <v>22020301</v>
      </c>
      <c r="E885" s="135" t="s">
        <v>737</v>
      </c>
      <c r="F885" s="136">
        <v>2886000</v>
      </c>
      <c r="G885" s="28">
        <v>2886000</v>
      </c>
      <c r="H885" s="28"/>
      <c r="I885" s="28"/>
      <c r="J885" s="28">
        <v>2886000</v>
      </c>
      <c r="K885" s="488">
        <f t="shared" si="169"/>
        <v>126406.8</v>
      </c>
      <c r="L885" s="469">
        <v>2759593.2</v>
      </c>
      <c r="M885" s="28">
        <v>2886000</v>
      </c>
      <c r="N885" s="28">
        <v>2886000</v>
      </c>
    </row>
    <row r="886" spans="1:14" s="20" customFormat="1">
      <c r="A886" s="253"/>
      <c r="B886" s="231"/>
      <c r="C886" s="32" t="s">
        <v>47</v>
      </c>
      <c r="D886" s="77">
        <v>22020305</v>
      </c>
      <c r="E886" s="135" t="s">
        <v>755</v>
      </c>
      <c r="F886" s="136">
        <v>42491000</v>
      </c>
      <c r="G886" s="28">
        <v>42491000</v>
      </c>
      <c r="H886" s="28"/>
      <c r="I886" s="28"/>
      <c r="J886" s="28">
        <v>42491000</v>
      </c>
      <c r="K886" s="488">
        <f t="shared" si="169"/>
        <v>1861105.8</v>
      </c>
      <c r="L886" s="469">
        <v>40629894.200000003</v>
      </c>
      <c r="M886" s="28">
        <v>42491000</v>
      </c>
      <c r="N886" s="28">
        <v>42491000</v>
      </c>
    </row>
    <row r="887" spans="1:14" s="20" customFormat="1">
      <c r="A887" s="253"/>
      <c r="B887" s="231"/>
      <c r="C887" s="32" t="s">
        <v>47</v>
      </c>
      <c r="D887" s="77">
        <v>22020306</v>
      </c>
      <c r="E887" s="135" t="s">
        <v>765</v>
      </c>
      <c r="F887" s="136">
        <v>114000000</v>
      </c>
      <c r="G887" s="28">
        <v>60000000</v>
      </c>
      <c r="H887" s="28"/>
      <c r="I887" s="28"/>
      <c r="J887" s="28">
        <v>60000000</v>
      </c>
      <c r="K887" s="488">
        <f t="shared" si="169"/>
        <v>2628000</v>
      </c>
      <c r="L887" s="469">
        <v>57372000</v>
      </c>
      <c r="M887" s="28">
        <v>114000000</v>
      </c>
      <c r="N887" s="28">
        <v>114000000</v>
      </c>
    </row>
    <row r="888" spans="1:14" s="20" customFormat="1">
      <c r="A888" s="253"/>
      <c r="B888" s="231"/>
      <c r="C888" s="32" t="s">
        <v>47</v>
      </c>
      <c r="D888" s="77">
        <v>22020315</v>
      </c>
      <c r="E888" s="135" t="s">
        <v>740</v>
      </c>
      <c r="F888" s="136">
        <v>600000</v>
      </c>
      <c r="G888" s="28">
        <v>600000</v>
      </c>
      <c r="H888" s="28"/>
      <c r="I888" s="28"/>
      <c r="J888" s="28">
        <v>600000</v>
      </c>
      <c r="K888" s="488">
        <f t="shared" si="169"/>
        <v>26280</v>
      </c>
      <c r="L888" s="469">
        <v>573720</v>
      </c>
      <c r="M888" s="28">
        <v>600000</v>
      </c>
      <c r="N888" s="28">
        <v>600000</v>
      </c>
    </row>
    <row r="889" spans="1:14" s="20" customFormat="1">
      <c r="A889" s="253"/>
      <c r="B889" s="231"/>
      <c r="C889" s="32" t="s">
        <v>47</v>
      </c>
      <c r="D889" s="77">
        <v>22020402</v>
      </c>
      <c r="E889" s="135" t="s">
        <v>757</v>
      </c>
      <c r="F889" s="136">
        <v>5250000</v>
      </c>
      <c r="G889" s="28">
        <v>5250000</v>
      </c>
      <c r="H889" s="28"/>
      <c r="I889" s="28"/>
      <c r="J889" s="28">
        <v>5250000</v>
      </c>
      <c r="K889" s="488">
        <f t="shared" si="169"/>
        <v>229950</v>
      </c>
      <c r="L889" s="469">
        <v>5020050</v>
      </c>
      <c r="M889" s="28">
        <v>5250000</v>
      </c>
      <c r="N889" s="28">
        <v>5250000</v>
      </c>
    </row>
    <row r="890" spans="1:14" s="20" customFormat="1">
      <c r="A890" s="253"/>
      <c r="B890" s="231"/>
      <c r="C890" s="32" t="s">
        <v>47</v>
      </c>
      <c r="D890" s="77">
        <v>22020403</v>
      </c>
      <c r="E890" s="135" t="s">
        <v>781</v>
      </c>
      <c r="F890" s="136">
        <v>9000000</v>
      </c>
      <c r="G890" s="28">
        <v>9000000</v>
      </c>
      <c r="H890" s="28"/>
      <c r="I890" s="28"/>
      <c r="J890" s="28">
        <v>9000000</v>
      </c>
      <c r="K890" s="488">
        <f t="shared" si="169"/>
        <v>394200</v>
      </c>
      <c r="L890" s="469">
        <v>8605800</v>
      </c>
      <c r="M890" s="28">
        <v>9000000</v>
      </c>
      <c r="N890" s="28">
        <v>9000000</v>
      </c>
    </row>
    <row r="891" spans="1:14" s="20" customFormat="1">
      <c r="A891" s="253"/>
      <c r="B891" s="231"/>
      <c r="C891" s="32" t="s">
        <v>47</v>
      </c>
      <c r="D891" s="77">
        <v>22020405</v>
      </c>
      <c r="E891" s="135" t="s">
        <v>743</v>
      </c>
      <c r="F891" s="136">
        <v>2400000</v>
      </c>
      <c r="G891" s="28">
        <v>2400000</v>
      </c>
      <c r="H891" s="28"/>
      <c r="I891" s="28"/>
      <c r="J891" s="28">
        <v>2400000</v>
      </c>
      <c r="K891" s="488">
        <f t="shared" si="169"/>
        <v>105120</v>
      </c>
      <c r="L891" s="469">
        <v>2294880</v>
      </c>
      <c r="M891" s="28">
        <v>2400000</v>
      </c>
      <c r="N891" s="28">
        <v>2400000</v>
      </c>
    </row>
    <row r="892" spans="1:14" s="20" customFormat="1">
      <c r="A892" s="253"/>
      <c r="B892" s="231"/>
      <c r="C892" s="32" t="s">
        <v>47</v>
      </c>
      <c r="D892" s="77">
        <v>22020414</v>
      </c>
      <c r="E892" s="135" t="s">
        <v>1718</v>
      </c>
      <c r="F892" s="136">
        <v>6675000</v>
      </c>
      <c r="G892" s="28">
        <v>6675000</v>
      </c>
      <c r="H892" s="28"/>
      <c r="I892" s="28"/>
      <c r="J892" s="28">
        <v>6675000</v>
      </c>
      <c r="K892" s="488">
        <f t="shared" si="169"/>
        <v>292365</v>
      </c>
      <c r="L892" s="469">
        <v>6382635</v>
      </c>
      <c r="M892" s="28">
        <v>6675000</v>
      </c>
      <c r="N892" s="28">
        <v>6675000</v>
      </c>
    </row>
    <row r="893" spans="1:14" s="20" customFormat="1">
      <c r="A893" s="253"/>
      <c r="B893" s="231"/>
      <c r="C893" s="32" t="s">
        <v>47</v>
      </c>
      <c r="D893" s="77">
        <v>22020710</v>
      </c>
      <c r="E893" s="135" t="s">
        <v>1726</v>
      </c>
      <c r="F893" s="136">
        <v>525000000</v>
      </c>
      <c r="G893" s="28">
        <v>300000000</v>
      </c>
      <c r="H893" s="28"/>
      <c r="I893" s="28"/>
      <c r="J893" s="28">
        <v>300000000</v>
      </c>
      <c r="K893" s="488">
        <f t="shared" si="169"/>
        <v>13140000</v>
      </c>
      <c r="L893" s="469">
        <v>286860000</v>
      </c>
      <c r="M893" s="28">
        <v>525000000</v>
      </c>
      <c r="N893" s="28">
        <v>525000000</v>
      </c>
    </row>
    <row r="894" spans="1:14" s="20" customFormat="1">
      <c r="A894" s="253"/>
      <c r="B894" s="231"/>
      <c r="C894" s="32" t="s">
        <v>47</v>
      </c>
      <c r="D894" s="77">
        <v>22020801</v>
      </c>
      <c r="E894" s="135" t="s">
        <v>747</v>
      </c>
      <c r="F894" s="136">
        <v>2871000</v>
      </c>
      <c r="G894" s="28">
        <v>2871000</v>
      </c>
      <c r="H894" s="28"/>
      <c r="I894" s="28"/>
      <c r="J894" s="28">
        <v>2871000</v>
      </c>
      <c r="K894" s="488">
        <f t="shared" si="169"/>
        <v>125749.8</v>
      </c>
      <c r="L894" s="469">
        <v>2745250.2</v>
      </c>
      <c r="M894" s="28">
        <v>2871000</v>
      </c>
      <c r="N894" s="28">
        <v>2871000</v>
      </c>
    </row>
    <row r="895" spans="1:14" s="20" customFormat="1">
      <c r="A895" s="253"/>
      <c r="B895" s="231"/>
      <c r="C895" s="32" t="s">
        <v>47</v>
      </c>
      <c r="D895" s="77">
        <v>22020803</v>
      </c>
      <c r="E895" s="135" t="s">
        <v>748</v>
      </c>
      <c r="F895" s="136">
        <v>12720000</v>
      </c>
      <c r="G895" s="28">
        <v>12720000</v>
      </c>
      <c r="H895" s="28"/>
      <c r="I895" s="28"/>
      <c r="J895" s="28">
        <v>12720000</v>
      </c>
      <c r="K895" s="488">
        <f t="shared" si="169"/>
        <v>557136</v>
      </c>
      <c r="L895" s="469">
        <v>12162864</v>
      </c>
      <c r="M895" s="28">
        <v>12720000</v>
      </c>
      <c r="N895" s="28">
        <v>12720000</v>
      </c>
    </row>
    <row r="896" spans="1:14" s="20" customFormat="1">
      <c r="A896" s="253"/>
      <c r="B896" s="231"/>
      <c r="C896" s="32" t="s">
        <v>47</v>
      </c>
      <c r="D896" s="77">
        <v>22020807</v>
      </c>
      <c r="E896" s="135" t="s">
        <v>917</v>
      </c>
      <c r="F896" s="136">
        <v>360000000</v>
      </c>
      <c r="G896" s="28">
        <v>0</v>
      </c>
      <c r="H896" s="28"/>
      <c r="I896" s="28"/>
      <c r="J896" s="28">
        <v>0</v>
      </c>
      <c r="K896" s="488">
        <f t="shared" si="169"/>
        <v>0</v>
      </c>
      <c r="L896" s="469">
        <v>0</v>
      </c>
      <c r="M896" s="28">
        <v>360000000</v>
      </c>
      <c r="N896" s="28">
        <v>360000000</v>
      </c>
    </row>
    <row r="897" spans="1:15" s="20" customFormat="1">
      <c r="A897" s="253"/>
      <c r="B897" s="231"/>
      <c r="C897" s="32" t="s">
        <v>47</v>
      </c>
      <c r="D897" s="77">
        <v>22021001</v>
      </c>
      <c r="E897" s="135" t="s">
        <v>772</v>
      </c>
      <c r="F897" s="136">
        <v>2242000</v>
      </c>
      <c r="G897" s="28">
        <v>2242000</v>
      </c>
      <c r="H897" s="28"/>
      <c r="I897" s="28"/>
      <c r="J897" s="28">
        <v>2242000</v>
      </c>
      <c r="K897" s="488">
        <f t="shared" si="169"/>
        <v>98199.599999999991</v>
      </c>
      <c r="L897" s="469">
        <v>2143800.4</v>
      </c>
      <c r="M897" s="28">
        <v>2242000</v>
      </c>
      <c r="N897" s="28">
        <v>2242000</v>
      </c>
    </row>
    <row r="898" spans="1:15" s="20" customFormat="1">
      <c r="A898" s="253"/>
      <c r="B898" s="231"/>
      <c r="C898" s="32" t="s">
        <v>47</v>
      </c>
      <c r="D898" s="77">
        <v>22021003</v>
      </c>
      <c r="E898" s="135" t="s">
        <v>760</v>
      </c>
      <c r="F898" s="136">
        <v>5136000</v>
      </c>
      <c r="G898" s="28">
        <v>0</v>
      </c>
      <c r="H898" s="28"/>
      <c r="I898" s="28"/>
      <c r="J898" s="28">
        <v>0</v>
      </c>
      <c r="K898" s="488">
        <f t="shared" si="169"/>
        <v>0</v>
      </c>
      <c r="L898" s="469">
        <v>0</v>
      </c>
      <c r="M898" s="28">
        <v>5136000</v>
      </c>
      <c r="N898" s="28">
        <v>5136000</v>
      </c>
    </row>
    <row r="899" spans="1:15" s="20" customFormat="1">
      <c r="A899" s="253"/>
      <c r="B899" s="231"/>
      <c r="C899" s="32" t="s">
        <v>47</v>
      </c>
      <c r="D899" s="77">
        <v>22021006</v>
      </c>
      <c r="E899" s="135" t="s">
        <v>855</v>
      </c>
      <c r="F899" s="136">
        <v>400000</v>
      </c>
      <c r="G899" s="28">
        <v>400000</v>
      </c>
      <c r="H899" s="28"/>
      <c r="I899" s="28"/>
      <c r="J899" s="28">
        <v>400000</v>
      </c>
      <c r="K899" s="488">
        <f t="shared" si="169"/>
        <v>17520</v>
      </c>
      <c r="L899" s="469">
        <v>382480</v>
      </c>
      <c r="M899" s="28">
        <v>400000</v>
      </c>
      <c r="N899" s="28">
        <v>400000</v>
      </c>
    </row>
    <row r="900" spans="1:15" s="20" customFormat="1">
      <c r="A900" s="253"/>
      <c r="B900" s="231"/>
      <c r="C900" s="32" t="s">
        <v>47</v>
      </c>
      <c r="D900" s="77">
        <v>22021023</v>
      </c>
      <c r="E900" s="135" t="s">
        <v>761</v>
      </c>
      <c r="F900" s="136">
        <v>87184000</v>
      </c>
      <c r="G900" s="28">
        <v>50000000</v>
      </c>
      <c r="H900" s="28"/>
      <c r="I900" s="28"/>
      <c r="J900" s="28">
        <v>50000000</v>
      </c>
      <c r="K900" s="488">
        <f t="shared" si="169"/>
        <v>2190000</v>
      </c>
      <c r="L900" s="469">
        <v>47810000</v>
      </c>
      <c r="M900" s="28">
        <v>87184000</v>
      </c>
      <c r="N900" s="28">
        <v>87184000</v>
      </c>
    </row>
    <row r="901" spans="1:15" s="20" customFormat="1">
      <c r="A901" s="253"/>
      <c r="B901" s="231"/>
      <c r="C901" s="32" t="s">
        <v>47</v>
      </c>
      <c r="D901" s="77">
        <v>22021028</v>
      </c>
      <c r="E901" s="135" t="s">
        <v>918</v>
      </c>
      <c r="F901" s="136">
        <v>564000000</v>
      </c>
      <c r="G901" s="28">
        <v>20000000</v>
      </c>
      <c r="H901" s="28"/>
      <c r="I901" s="28"/>
      <c r="J901" s="28">
        <v>20000000</v>
      </c>
      <c r="K901" s="488">
        <f t="shared" si="169"/>
        <v>876000</v>
      </c>
      <c r="L901" s="469">
        <v>19124000</v>
      </c>
      <c r="M901" s="28">
        <v>564000000</v>
      </c>
      <c r="N901" s="28">
        <v>564000000</v>
      </c>
    </row>
    <row r="902" spans="1:15" s="20" customFormat="1">
      <c r="A902" s="253"/>
      <c r="B902" s="231"/>
      <c r="C902" s="32" t="s">
        <v>47</v>
      </c>
      <c r="D902" s="77">
        <v>22040110</v>
      </c>
      <c r="E902" s="135" t="s">
        <v>919</v>
      </c>
      <c r="F902" s="136">
        <v>15000000</v>
      </c>
      <c r="G902" s="28">
        <v>0</v>
      </c>
      <c r="H902" s="28"/>
      <c r="I902" s="28"/>
      <c r="J902" s="28">
        <v>0</v>
      </c>
      <c r="K902" s="488">
        <f t="shared" si="169"/>
        <v>0</v>
      </c>
      <c r="L902" s="469">
        <v>0</v>
      </c>
      <c r="M902" s="28">
        <v>15000000</v>
      </c>
      <c r="N902" s="28">
        <v>15000000</v>
      </c>
    </row>
    <row r="903" spans="1:15" s="20" customFormat="1">
      <c r="A903" s="253"/>
      <c r="B903" s="231"/>
      <c r="C903" s="32" t="s">
        <v>47</v>
      </c>
      <c r="D903" s="77">
        <v>22040111</v>
      </c>
      <c r="E903" s="135" t="s">
        <v>920</v>
      </c>
      <c r="F903" s="136">
        <v>3300000</v>
      </c>
      <c r="G903" s="28">
        <v>3300000</v>
      </c>
      <c r="H903" s="28"/>
      <c r="I903" s="28"/>
      <c r="J903" s="28">
        <v>3300000</v>
      </c>
      <c r="K903" s="488">
        <f t="shared" si="169"/>
        <v>144540</v>
      </c>
      <c r="L903" s="469">
        <v>3155460</v>
      </c>
      <c r="M903" s="28">
        <v>3300000</v>
      </c>
      <c r="N903" s="28">
        <v>3300000</v>
      </c>
    </row>
    <row r="904" spans="1:15" s="20" customFormat="1">
      <c r="A904" s="253"/>
      <c r="B904" s="231"/>
      <c r="C904" s="32" t="s">
        <v>47</v>
      </c>
      <c r="D904" s="77">
        <v>22040112</v>
      </c>
      <c r="E904" s="135" t="s">
        <v>921</v>
      </c>
      <c r="F904" s="136">
        <v>5000400</v>
      </c>
      <c r="G904" s="28">
        <v>0</v>
      </c>
      <c r="H904" s="28"/>
      <c r="I904" s="28"/>
      <c r="J904" s="28">
        <v>0</v>
      </c>
      <c r="K904" s="488">
        <f t="shared" si="169"/>
        <v>0</v>
      </c>
      <c r="L904" s="469">
        <v>0</v>
      </c>
      <c r="M904" s="28">
        <v>5000400</v>
      </c>
      <c r="N904" s="28">
        <v>5000400</v>
      </c>
    </row>
    <row r="905" spans="1:15" s="20" customFormat="1">
      <c r="A905" s="253"/>
      <c r="B905" s="231"/>
      <c r="C905" s="32" t="s">
        <v>47</v>
      </c>
      <c r="D905" s="77">
        <v>22040113</v>
      </c>
      <c r="E905" s="135" t="s">
        <v>922</v>
      </c>
      <c r="F905" s="136">
        <v>3000000</v>
      </c>
      <c r="G905" s="28">
        <v>3000000</v>
      </c>
      <c r="H905" s="28"/>
      <c r="I905" s="28"/>
      <c r="J905" s="28">
        <v>3000000</v>
      </c>
      <c r="K905" s="488">
        <f t="shared" si="169"/>
        <v>131400</v>
      </c>
      <c r="L905" s="469">
        <v>2868600</v>
      </c>
      <c r="M905" s="28">
        <v>3000000</v>
      </c>
      <c r="N905" s="28">
        <v>3000000</v>
      </c>
    </row>
    <row r="906" spans="1:15" s="20" customFormat="1">
      <c r="A906" s="253"/>
      <c r="B906" s="231"/>
      <c r="C906" s="32" t="s">
        <v>47</v>
      </c>
      <c r="D906" s="77">
        <v>22040114</v>
      </c>
      <c r="E906" s="135" t="s">
        <v>1715</v>
      </c>
      <c r="F906" s="136">
        <v>5412000</v>
      </c>
      <c r="G906" s="28">
        <v>0</v>
      </c>
      <c r="H906" s="28"/>
      <c r="I906" s="28"/>
      <c r="J906" s="28">
        <v>0</v>
      </c>
      <c r="K906" s="488">
        <f t="shared" si="169"/>
        <v>0</v>
      </c>
      <c r="L906" s="469">
        <v>0</v>
      </c>
      <c r="M906" s="28">
        <v>5412000</v>
      </c>
      <c r="N906" s="28">
        <v>5412000</v>
      </c>
    </row>
    <row r="907" spans="1:15" s="20" customFormat="1">
      <c r="A907" s="253"/>
      <c r="B907" s="231"/>
      <c r="C907" s="32" t="s">
        <v>47</v>
      </c>
      <c r="D907" s="77">
        <v>22040115</v>
      </c>
      <c r="E907" s="135" t="s">
        <v>923</v>
      </c>
      <c r="F907" s="136">
        <v>966000000</v>
      </c>
      <c r="G907" s="28">
        <v>966000000</v>
      </c>
      <c r="H907" s="28"/>
      <c r="I907" s="28"/>
      <c r="J907" s="28">
        <v>966000000</v>
      </c>
      <c r="K907" s="488">
        <f t="shared" si="169"/>
        <v>42310800</v>
      </c>
      <c r="L907" s="469">
        <v>923689200</v>
      </c>
      <c r="M907" s="28">
        <v>966000000</v>
      </c>
      <c r="N907" s="28">
        <v>966000000</v>
      </c>
    </row>
    <row r="908" spans="1:15" s="20" customFormat="1">
      <c r="A908" s="253"/>
      <c r="B908" s="231"/>
      <c r="C908" s="32" t="s">
        <v>47</v>
      </c>
      <c r="D908" s="77">
        <v>22040116</v>
      </c>
      <c r="E908" s="135" t="s">
        <v>1716</v>
      </c>
      <c r="F908" s="136">
        <v>3804000000</v>
      </c>
      <c r="G908" s="28">
        <v>3804000000</v>
      </c>
      <c r="H908" s="28"/>
      <c r="I908" s="28"/>
      <c r="J908" s="28">
        <v>3804000000</v>
      </c>
      <c r="K908" s="488">
        <f t="shared" si="169"/>
        <v>166615200</v>
      </c>
      <c r="L908" s="469">
        <v>3637384800</v>
      </c>
      <c r="M908" s="28">
        <v>3804000000</v>
      </c>
      <c r="N908" s="28">
        <v>3804000000</v>
      </c>
    </row>
    <row r="909" spans="1:15" s="20" customFormat="1">
      <c r="A909" s="253"/>
      <c r="B909" s="231"/>
      <c r="C909" s="32" t="s">
        <v>47</v>
      </c>
      <c r="D909" s="77">
        <v>22040118</v>
      </c>
      <c r="E909" s="135" t="s">
        <v>924</v>
      </c>
      <c r="F909" s="136">
        <v>780000000</v>
      </c>
      <c r="G909" s="28">
        <v>780000000</v>
      </c>
      <c r="H909" s="28"/>
      <c r="I909" s="28"/>
      <c r="J909" s="28">
        <v>780000000</v>
      </c>
      <c r="K909" s="488">
        <f t="shared" si="169"/>
        <v>34164000</v>
      </c>
      <c r="L909" s="469">
        <v>745836000</v>
      </c>
      <c r="M909" s="28">
        <v>780000000</v>
      </c>
      <c r="N909" s="28">
        <v>780000000</v>
      </c>
    </row>
    <row r="910" spans="1:15" s="20" customFormat="1">
      <c r="A910" s="253"/>
      <c r="B910" s="447"/>
      <c r="C910" s="32" t="s">
        <v>47</v>
      </c>
      <c r="D910" s="77">
        <v>22070005</v>
      </c>
      <c r="E910" s="135" t="s">
        <v>925</v>
      </c>
      <c r="F910" s="136">
        <v>50000000</v>
      </c>
      <c r="G910" s="28">
        <v>50000000</v>
      </c>
      <c r="H910" s="28"/>
      <c r="I910" s="28"/>
      <c r="J910" s="28">
        <v>50000000</v>
      </c>
      <c r="K910" s="488">
        <f t="shared" si="169"/>
        <v>2190000</v>
      </c>
      <c r="L910" s="469">
        <v>47810000</v>
      </c>
      <c r="M910" s="28">
        <v>50000000</v>
      </c>
      <c r="N910" s="28">
        <v>50000000</v>
      </c>
    </row>
    <row r="911" spans="1:15" s="20" customFormat="1">
      <c r="A911" s="253"/>
      <c r="B911" s="231"/>
      <c r="C911" s="32" t="s">
        <v>47</v>
      </c>
      <c r="D911" s="77">
        <v>22060101</v>
      </c>
      <c r="E911" s="135" t="s">
        <v>926</v>
      </c>
      <c r="F911" s="136">
        <v>1493276987.76</v>
      </c>
      <c r="G911" s="28">
        <v>1493276987.76</v>
      </c>
      <c r="H911" s="28"/>
      <c r="I911" s="28"/>
      <c r="J911" s="28">
        <v>1493276987.76</v>
      </c>
      <c r="K911" s="488">
        <f t="shared" si="169"/>
        <v>65405532.063887998</v>
      </c>
      <c r="L911" s="469">
        <v>1427871455.6961122</v>
      </c>
      <c r="M911" s="28">
        <v>1493276987.76</v>
      </c>
      <c r="N911" s="28">
        <v>1493276987.76</v>
      </c>
    </row>
    <row r="912" spans="1:15" s="20" customFormat="1">
      <c r="A912" s="253"/>
      <c r="B912" s="231"/>
      <c r="C912" s="32" t="s">
        <v>47</v>
      </c>
      <c r="D912" s="77">
        <v>22060201</v>
      </c>
      <c r="E912" s="135" t="s">
        <v>1717</v>
      </c>
      <c r="F912" s="136">
        <v>2814053433.4800005</v>
      </c>
      <c r="G912" s="28">
        <v>2814053433.4800005</v>
      </c>
      <c r="H912" s="28"/>
      <c r="I912" s="28"/>
      <c r="J912" s="28">
        <v>2814053433.4800005</v>
      </c>
      <c r="K912" s="488">
        <f t="shared" si="169"/>
        <v>123255540.38642402</v>
      </c>
      <c r="L912" s="469">
        <v>2690797893.0935764</v>
      </c>
      <c r="M912" s="28">
        <v>2814053433.4800005</v>
      </c>
      <c r="N912" s="28">
        <v>2814053433.4800005</v>
      </c>
      <c r="O912" s="35"/>
    </row>
    <row r="913" spans="1:15" s="20" customFormat="1">
      <c r="A913" s="253"/>
      <c r="B913" s="231"/>
      <c r="C913" s="32" t="s">
        <v>47</v>
      </c>
      <c r="D913" s="77">
        <v>22060203</v>
      </c>
      <c r="E913" s="135" t="s">
        <v>927</v>
      </c>
      <c r="F913" s="136">
        <v>9975000</v>
      </c>
      <c r="G913" s="28">
        <v>9975000</v>
      </c>
      <c r="H913" s="28"/>
      <c r="I913" s="28"/>
      <c r="J913" s="28">
        <v>9975000</v>
      </c>
      <c r="K913" s="488">
        <f t="shared" si="169"/>
        <v>436905</v>
      </c>
      <c r="L913" s="469">
        <v>9538095</v>
      </c>
      <c r="M913" s="28">
        <v>9975000</v>
      </c>
      <c r="N913" s="28">
        <v>9975000</v>
      </c>
    </row>
    <row r="914" spans="1:15" s="20" customFormat="1">
      <c r="A914" s="253"/>
      <c r="B914" s="231"/>
      <c r="C914" s="32" t="s">
        <v>47</v>
      </c>
      <c r="D914" s="77">
        <v>22021002</v>
      </c>
      <c r="E914" s="135" t="s">
        <v>805</v>
      </c>
      <c r="F914" s="136"/>
      <c r="G914" s="28">
        <v>100000000</v>
      </c>
      <c r="H914" s="28"/>
      <c r="I914" s="28"/>
      <c r="J914" s="28">
        <v>100000000</v>
      </c>
      <c r="K914" s="488">
        <f t="shared" si="169"/>
        <v>4380000</v>
      </c>
      <c r="L914" s="469">
        <v>95620000</v>
      </c>
      <c r="M914" s="28">
        <f>G914*10%+G914</f>
        <v>110000000</v>
      </c>
      <c r="N914" s="28">
        <f>M914*10%+M914</f>
        <v>121000000</v>
      </c>
    </row>
    <row r="915" spans="1:15" s="20" customFormat="1">
      <c r="A915" s="253"/>
      <c r="B915" s="231"/>
      <c r="C915" s="32" t="s">
        <v>47</v>
      </c>
      <c r="D915" s="450"/>
      <c r="E915" s="240" t="s">
        <v>2610</v>
      </c>
      <c r="F915" s="138"/>
      <c r="G915" s="297"/>
      <c r="H915" s="297">
        <f>70000000+250000000</f>
        <v>320000000</v>
      </c>
      <c r="I915" s="297"/>
      <c r="J915" s="28">
        <v>320000000</v>
      </c>
      <c r="K915" s="488">
        <f t="shared" si="169"/>
        <v>14016000</v>
      </c>
      <c r="L915" s="469">
        <v>305984000</v>
      </c>
      <c r="M915" s="297"/>
      <c r="N915" s="297"/>
    </row>
    <row r="916" spans="1:15" s="20" customFormat="1">
      <c r="A916" s="238"/>
      <c r="B916" s="231"/>
      <c r="C916" s="30" t="s">
        <v>1837</v>
      </c>
      <c r="D916" s="23"/>
      <c r="E916" s="25"/>
      <c r="F916" s="137">
        <f>SUM(F873:F913)</f>
        <v>34636262618.110001</v>
      </c>
      <c r="G916" s="114">
        <f>SUM(G873:G914)</f>
        <v>27713908421.239998</v>
      </c>
      <c r="H916" s="114">
        <f t="shared" ref="H916:I916" si="170">SUM(H873:H914)</f>
        <v>0</v>
      </c>
      <c r="I916" s="114">
        <f t="shared" si="170"/>
        <v>1000000000</v>
      </c>
      <c r="J916" s="114">
        <f>SUM(J873:J915)</f>
        <v>27033908421.239998</v>
      </c>
      <c r="K916" s="490">
        <f>SUM(K873:K915)</f>
        <v>1184085188.8503118</v>
      </c>
      <c r="L916" s="468">
        <f>SUM(L873:L915)</f>
        <v>25849823232.389694</v>
      </c>
      <c r="M916" s="452">
        <f t="shared" ref="M916:N916" si="171">SUM(M873:M915)</f>
        <v>14514560821.240002</v>
      </c>
      <c r="N916" s="452">
        <f t="shared" si="171"/>
        <v>14525560821.240002</v>
      </c>
    </row>
    <row r="917" spans="1:15" s="66" customFormat="1" ht="30">
      <c r="A917" s="238" t="s">
        <v>904</v>
      </c>
      <c r="B917" s="231" t="s">
        <v>1874</v>
      </c>
      <c r="C917" s="30"/>
      <c r="D917" s="23"/>
      <c r="E917" s="25"/>
      <c r="F917" s="137">
        <f>F916+F872</f>
        <v>35252646582.110001</v>
      </c>
      <c r="G917" s="114">
        <f ca="1">G916+G872</f>
        <v>28263275959.239998</v>
      </c>
      <c r="H917" s="114">
        <f t="shared" ref="H917:I917" ca="1" si="172">H916+H872</f>
        <v>1070000000</v>
      </c>
      <c r="I917" s="114">
        <f t="shared" ca="1" si="172"/>
        <v>1000000000</v>
      </c>
      <c r="J917" s="114">
        <f>J916+J872</f>
        <v>28333275959.239998</v>
      </c>
      <c r="K917" s="490"/>
      <c r="L917" s="468">
        <f>L916+L872</f>
        <v>27149190770.389694</v>
      </c>
      <c r="M917" s="114">
        <f>M916+M872</f>
        <v>15118865113.040001</v>
      </c>
      <c r="N917" s="114">
        <f>N916+N872</f>
        <v>15190295542.220001</v>
      </c>
    </row>
    <row r="918" spans="1:15" s="20" customFormat="1" ht="21">
      <c r="A918" s="252"/>
      <c r="B918" s="443"/>
      <c r="C918" s="228"/>
      <c r="D918" s="229"/>
      <c r="E918" s="230"/>
      <c r="F918" s="215"/>
      <c r="G918" s="296"/>
      <c r="H918" s="296"/>
      <c r="I918" s="296"/>
      <c r="J918" s="28"/>
      <c r="K918" s="488"/>
      <c r="L918" s="468"/>
      <c r="M918" s="296"/>
      <c r="N918" s="296"/>
    </row>
    <row r="919" spans="1:15" s="20" customFormat="1" ht="16.5" customHeight="1">
      <c r="A919" s="238" t="s">
        <v>928</v>
      </c>
      <c r="B919" s="231" t="s">
        <v>212</v>
      </c>
      <c r="C919" s="32" t="s">
        <v>46</v>
      </c>
      <c r="D919" s="77">
        <v>21010101</v>
      </c>
      <c r="E919" s="135" t="s">
        <v>725</v>
      </c>
      <c r="F919" s="136">
        <v>627085474.23833323</v>
      </c>
      <c r="G919" s="28">
        <v>627085474.23833323</v>
      </c>
      <c r="H919" s="28"/>
      <c r="I919" s="28"/>
      <c r="J919" s="28">
        <v>627085474.23833323</v>
      </c>
      <c r="K919" s="488"/>
      <c r="L919" s="467">
        <v>627085474.23833323</v>
      </c>
      <c r="M919" s="28">
        <f>G919*10%+G919</f>
        <v>689794021.6621666</v>
      </c>
      <c r="N919" s="28">
        <f>M919*10%+M919</f>
        <v>758773423.82838321</v>
      </c>
    </row>
    <row r="920" spans="1:15" s="20" customFormat="1">
      <c r="A920" s="238"/>
      <c r="B920" s="231"/>
      <c r="C920" s="30" t="s">
        <v>1836</v>
      </c>
      <c r="D920" s="23"/>
      <c r="E920" s="25"/>
      <c r="F920" s="137">
        <f>SUM(F919)</f>
        <v>627085474.23833323</v>
      </c>
      <c r="G920" s="114">
        <f>SUM(G919)</f>
        <v>627085474.23833323</v>
      </c>
      <c r="H920" s="114">
        <f t="shared" ref="H920:I920" si="173">SUM(H919)</f>
        <v>0</v>
      </c>
      <c r="I920" s="114">
        <f t="shared" si="173"/>
        <v>0</v>
      </c>
      <c r="J920" s="114">
        <f>SUM(J919)</f>
        <v>627085474.23833323</v>
      </c>
      <c r="K920" s="490"/>
      <c r="L920" s="468">
        <f>SUM(L919)</f>
        <v>627085474.23833323</v>
      </c>
      <c r="M920" s="114">
        <f>SUM(M919)</f>
        <v>689794021.6621666</v>
      </c>
      <c r="N920" s="114">
        <f>SUM(N919)</f>
        <v>758773423.82838321</v>
      </c>
    </row>
    <row r="921" spans="1:15" s="20" customFormat="1">
      <c r="A921" s="253"/>
      <c r="B921" s="231"/>
      <c r="C921" s="32" t="s">
        <v>47</v>
      </c>
      <c r="D921" s="77">
        <v>22020105</v>
      </c>
      <c r="E921" s="135" t="s">
        <v>1733</v>
      </c>
      <c r="F921" s="136">
        <v>1760000</v>
      </c>
      <c r="G921" s="28">
        <v>880000</v>
      </c>
      <c r="H921" s="28"/>
      <c r="I921" s="28"/>
      <c r="J921" s="28">
        <v>880000</v>
      </c>
      <c r="K921" s="488">
        <f>J921*4.38%</f>
        <v>38544</v>
      </c>
      <c r="L921" s="469">
        <v>841456</v>
      </c>
      <c r="M921" s="28">
        <v>1760000</v>
      </c>
      <c r="N921" s="28">
        <v>1760000</v>
      </c>
      <c r="O921" s="408"/>
    </row>
    <row r="922" spans="1:15" s="20" customFormat="1">
      <c r="A922" s="253"/>
      <c r="B922" s="231"/>
      <c r="C922" s="32" t="s">
        <v>47</v>
      </c>
      <c r="D922" s="77">
        <v>22020203</v>
      </c>
      <c r="E922" s="135" t="s">
        <v>779</v>
      </c>
      <c r="F922" s="136">
        <v>5000000</v>
      </c>
      <c r="G922" s="28">
        <v>2500000</v>
      </c>
      <c r="H922" s="28"/>
      <c r="I922" s="28"/>
      <c r="J922" s="28">
        <v>2500000</v>
      </c>
      <c r="K922" s="488">
        <f t="shared" ref="K922:K946" si="174">J922*4.38%</f>
        <v>109500</v>
      </c>
      <c r="L922" s="469">
        <v>2390500</v>
      </c>
      <c r="M922" s="28">
        <v>5000000</v>
      </c>
      <c r="N922" s="28">
        <v>5000000</v>
      </c>
      <c r="O922" s="408"/>
    </row>
    <row r="923" spans="1:15" s="20" customFormat="1">
      <c r="A923" s="253"/>
      <c r="B923" s="231"/>
      <c r="C923" s="32" t="s">
        <v>47</v>
      </c>
      <c r="D923" s="77">
        <v>22020301</v>
      </c>
      <c r="E923" s="135" t="s">
        <v>737</v>
      </c>
      <c r="F923" s="136">
        <v>5000000</v>
      </c>
      <c r="G923" s="28">
        <v>2500000</v>
      </c>
      <c r="H923" s="28"/>
      <c r="I923" s="28"/>
      <c r="J923" s="28">
        <v>2500000</v>
      </c>
      <c r="K923" s="488">
        <f t="shared" si="174"/>
        <v>109500</v>
      </c>
      <c r="L923" s="469">
        <v>2390500</v>
      </c>
      <c r="M923" s="28">
        <v>5000000</v>
      </c>
      <c r="N923" s="28">
        <v>5000000</v>
      </c>
      <c r="O923" s="408"/>
    </row>
    <row r="924" spans="1:15" s="20" customFormat="1">
      <c r="A924" s="253"/>
      <c r="B924" s="231"/>
      <c r="C924" s="32" t="s">
        <v>47</v>
      </c>
      <c r="D924" s="77">
        <v>22020305</v>
      </c>
      <c r="E924" s="135" t="s">
        <v>755</v>
      </c>
      <c r="F924" s="136">
        <v>8000000</v>
      </c>
      <c r="G924" s="28">
        <v>4000000</v>
      </c>
      <c r="H924" s="28"/>
      <c r="I924" s="28"/>
      <c r="J924" s="28">
        <v>4000000</v>
      </c>
      <c r="K924" s="488">
        <f t="shared" si="174"/>
        <v>175200</v>
      </c>
      <c r="L924" s="469">
        <v>3824800</v>
      </c>
      <c r="M924" s="28">
        <v>5000000</v>
      </c>
      <c r="N924" s="28">
        <v>5000000</v>
      </c>
      <c r="O924" s="408"/>
    </row>
    <row r="925" spans="1:15" s="20" customFormat="1">
      <c r="A925" s="253"/>
      <c r="B925" s="231"/>
      <c r="C925" s="32" t="s">
        <v>47</v>
      </c>
      <c r="D925" s="77">
        <v>22020306</v>
      </c>
      <c r="E925" s="135" t="s">
        <v>765</v>
      </c>
      <c r="F925" s="136">
        <v>26000000</v>
      </c>
      <c r="G925" s="28">
        <v>13000000</v>
      </c>
      <c r="H925" s="28"/>
      <c r="I925" s="28"/>
      <c r="J925" s="28">
        <v>13000000</v>
      </c>
      <c r="K925" s="488">
        <f t="shared" si="174"/>
        <v>569400</v>
      </c>
      <c r="L925" s="469">
        <v>12430600</v>
      </c>
      <c r="M925" s="28">
        <v>26000000</v>
      </c>
      <c r="N925" s="28">
        <v>26000000</v>
      </c>
      <c r="O925" s="408"/>
    </row>
    <row r="926" spans="1:15" s="20" customFormat="1">
      <c r="A926" s="253"/>
      <c r="B926" s="231"/>
      <c r="C926" s="32" t="s">
        <v>47</v>
      </c>
      <c r="D926" s="77">
        <v>22020315</v>
      </c>
      <c r="E926" s="135" t="s">
        <v>740</v>
      </c>
      <c r="F926" s="136">
        <v>5800000</v>
      </c>
      <c r="G926" s="28">
        <v>2900000</v>
      </c>
      <c r="H926" s="28"/>
      <c r="I926" s="28"/>
      <c r="J926" s="28">
        <v>2900000</v>
      </c>
      <c r="K926" s="488">
        <f t="shared" si="174"/>
        <v>127020</v>
      </c>
      <c r="L926" s="469">
        <v>2772980</v>
      </c>
      <c r="M926" s="28">
        <v>1600000</v>
      </c>
      <c r="N926" s="28">
        <v>1600000</v>
      </c>
      <c r="O926" s="408"/>
    </row>
    <row r="927" spans="1:15" s="20" customFormat="1">
      <c r="A927" s="253"/>
      <c r="B927" s="231"/>
      <c r="C927" s="32" t="s">
        <v>47</v>
      </c>
      <c r="D927" s="77">
        <v>22020401</v>
      </c>
      <c r="E927" s="135" t="s">
        <v>741</v>
      </c>
      <c r="F927" s="136">
        <v>8460000</v>
      </c>
      <c r="G927" s="28">
        <v>4230000</v>
      </c>
      <c r="H927" s="28"/>
      <c r="I927" s="28"/>
      <c r="J927" s="28">
        <v>4230000</v>
      </c>
      <c r="K927" s="488">
        <f t="shared" si="174"/>
        <v>185274</v>
      </c>
      <c r="L927" s="469">
        <v>4044726</v>
      </c>
      <c r="M927" s="28">
        <v>8460000</v>
      </c>
      <c r="N927" s="28">
        <v>8460000</v>
      </c>
      <c r="O927" s="408"/>
    </row>
    <row r="928" spans="1:15" s="20" customFormat="1">
      <c r="A928" s="253"/>
      <c r="B928" s="231"/>
      <c r="C928" s="32" t="s">
        <v>47</v>
      </c>
      <c r="D928" s="77">
        <v>22020402</v>
      </c>
      <c r="E928" s="135" t="s">
        <v>757</v>
      </c>
      <c r="F928" s="136">
        <v>360000</v>
      </c>
      <c r="G928" s="28">
        <v>180000</v>
      </c>
      <c r="H928" s="28"/>
      <c r="I928" s="28"/>
      <c r="J928" s="28">
        <v>180000</v>
      </c>
      <c r="K928" s="488">
        <f t="shared" si="174"/>
        <v>7884</v>
      </c>
      <c r="L928" s="469">
        <v>172116</v>
      </c>
      <c r="M928" s="28">
        <f>G928*10%+G928</f>
        <v>198000</v>
      </c>
      <c r="N928" s="28">
        <f>M928*10%+M928</f>
        <v>217800</v>
      </c>
      <c r="O928" s="408"/>
    </row>
    <row r="929" spans="1:15" s="20" customFormat="1">
      <c r="A929" s="253"/>
      <c r="B929" s="231"/>
      <c r="C929" s="32" t="s">
        <v>47</v>
      </c>
      <c r="D929" s="77">
        <v>22020403</v>
      </c>
      <c r="E929" s="135" t="s">
        <v>781</v>
      </c>
      <c r="F929" s="136">
        <v>720000</v>
      </c>
      <c r="G929" s="28">
        <v>360000</v>
      </c>
      <c r="H929" s="28"/>
      <c r="I929" s="28"/>
      <c r="J929" s="28">
        <v>360000</v>
      </c>
      <c r="K929" s="488">
        <f t="shared" si="174"/>
        <v>15768</v>
      </c>
      <c r="L929" s="469">
        <v>344232</v>
      </c>
      <c r="M929" s="28">
        <v>720000</v>
      </c>
      <c r="N929" s="28">
        <v>720000</v>
      </c>
      <c r="O929" s="408"/>
    </row>
    <row r="930" spans="1:15" s="20" customFormat="1">
      <c r="A930" s="253"/>
      <c r="B930" s="231"/>
      <c r="C930" s="32" t="s">
        <v>47</v>
      </c>
      <c r="D930" s="77">
        <v>22020404</v>
      </c>
      <c r="E930" s="135" t="s">
        <v>742</v>
      </c>
      <c r="F930" s="136">
        <v>250000</v>
      </c>
      <c r="G930" s="28">
        <v>125000</v>
      </c>
      <c r="H930" s="28"/>
      <c r="I930" s="28"/>
      <c r="J930" s="28">
        <v>125000</v>
      </c>
      <c r="K930" s="488">
        <f t="shared" si="174"/>
        <v>5475</v>
      </c>
      <c r="L930" s="469">
        <v>119525</v>
      </c>
      <c r="M930" s="28">
        <v>250000</v>
      </c>
      <c r="N930" s="28">
        <v>250000</v>
      </c>
      <c r="O930" s="408"/>
    </row>
    <row r="931" spans="1:15" s="20" customFormat="1">
      <c r="A931" s="253"/>
      <c r="B931" s="231"/>
      <c r="C931" s="32" t="s">
        <v>47</v>
      </c>
      <c r="D931" s="77">
        <v>22020405</v>
      </c>
      <c r="E931" s="135" t="s">
        <v>743</v>
      </c>
      <c r="F931" s="136">
        <v>776000</v>
      </c>
      <c r="G931" s="28">
        <v>388000</v>
      </c>
      <c r="H931" s="28"/>
      <c r="I931" s="28"/>
      <c r="J931" s="28">
        <v>388000</v>
      </c>
      <c r="K931" s="488">
        <f t="shared" si="174"/>
        <v>16994.399999999998</v>
      </c>
      <c r="L931" s="469">
        <v>371005.60000000003</v>
      </c>
      <c r="M931" s="28">
        <v>776000</v>
      </c>
      <c r="N931" s="28">
        <v>776000</v>
      </c>
      <c r="O931" s="408"/>
    </row>
    <row r="932" spans="1:15" s="20" customFormat="1">
      <c r="A932" s="253"/>
      <c r="B932" s="231"/>
      <c r="C932" s="32" t="s">
        <v>47</v>
      </c>
      <c r="D932" s="77">
        <v>22020414</v>
      </c>
      <c r="E932" s="135" t="s">
        <v>1718</v>
      </c>
      <c r="F932" s="136">
        <v>1500000</v>
      </c>
      <c r="G932" s="28">
        <v>750000</v>
      </c>
      <c r="H932" s="28"/>
      <c r="I932" s="28"/>
      <c r="J932" s="28">
        <v>750000</v>
      </c>
      <c r="K932" s="488">
        <f t="shared" si="174"/>
        <v>32850</v>
      </c>
      <c r="L932" s="469">
        <v>717150</v>
      </c>
      <c r="M932" s="28">
        <v>1500000</v>
      </c>
      <c r="N932" s="28">
        <v>1500000</v>
      </c>
      <c r="O932" s="408"/>
    </row>
    <row r="933" spans="1:15" s="20" customFormat="1">
      <c r="A933" s="253"/>
      <c r="B933" s="231"/>
      <c r="C933" s="32" t="s">
        <v>47</v>
      </c>
      <c r="D933" s="77">
        <v>22020416</v>
      </c>
      <c r="E933" s="135" t="s">
        <v>782</v>
      </c>
      <c r="F933" s="136">
        <v>43200000</v>
      </c>
      <c r="G933" s="28">
        <v>5000000</v>
      </c>
      <c r="H933" s="28"/>
      <c r="I933" s="28"/>
      <c r="J933" s="28">
        <v>5000000</v>
      </c>
      <c r="K933" s="488">
        <f t="shared" si="174"/>
        <v>219000</v>
      </c>
      <c r="L933" s="469">
        <v>4781000</v>
      </c>
      <c r="M933" s="28">
        <v>43200000</v>
      </c>
      <c r="N933" s="28">
        <v>43200000</v>
      </c>
      <c r="O933" s="408"/>
    </row>
    <row r="934" spans="1:15" s="20" customFormat="1">
      <c r="A934" s="253"/>
      <c r="B934" s="231"/>
      <c r="C934" s="32" t="s">
        <v>47</v>
      </c>
      <c r="D934" s="77">
        <v>22020501</v>
      </c>
      <c r="E934" s="135" t="s">
        <v>929</v>
      </c>
      <c r="F934" s="136">
        <v>5000000</v>
      </c>
      <c r="G934" s="28">
        <v>2500000</v>
      </c>
      <c r="H934" s="28"/>
      <c r="I934" s="28"/>
      <c r="J934" s="28">
        <v>2500000</v>
      </c>
      <c r="K934" s="488">
        <f t="shared" si="174"/>
        <v>109500</v>
      </c>
      <c r="L934" s="469">
        <v>2390500</v>
      </c>
      <c r="M934" s="28">
        <v>5000000</v>
      </c>
      <c r="N934" s="28">
        <v>5000000</v>
      </c>
      <c r="O934" s="408"/>
    </row>
    <row r="935" spans="1:15" s="20" customFormat="1">
      <c r="A935" s="253"/>
      <c r="B935" s="231"/>
      <c r="C935" s="32" t="s">
        <v>47</v>
      </c>
      <c r="D935" s="77">
        <v>22020505</v>
      </c>
      <c r="E935" s="135" t="s">
        <v>843</v>
      </c>
      <c r="F935" s="136">
        <v>1250000</v>
      </c>
      <c r="G935" s="28">
        <v>0</v>
      </c>
      <c r="H935" s="28"/>
      <c r="I935" s="28"/>
      <c r="J935" s="28">
        <v>0</v>
      </c>
      <c r="K935" s="488">
        <f t="shared" si="174"/>
        <v>0</v>
      </c>
      <c r="L935" s="469">
        <v>0</v>
      </c>
      <c r="M935" s="28">
        <v>1250000</v>
      </c>
      <c r="N935" s="28">
        <v>1250000</v>
      </c>
      <c r="O935" s="408"/>
    </row>
    <row r="936" spans="1:15" s="20" customFormat="1">
      <c r="A936" s="253"/>
      <c r="B936" s="231"/>
      <c r="C936" s="32" t="s">
        <v>47</v>
      </c>
      <c r="D936" s="77">
        <v>22020602</v>
      </c>
      <c r="E936" s="135" t="s">
        <v>767</v>
      </c>
      <c r="F936" s="136">
        <v>2707000</v>
      </c>
      <c r="G936" s="28">
        <v>1353500</v>
      </c>
      <c r="H936" s="28"/>
      <c r="I936" s="28"/>
      <c r="J936" s="28">
        <v>1353500</v>
      </c>
      <c r="K936" s="488">
        <f t="shared" si="174"/>
        <v>59283.299999999996</v>
      </c>
      <c r="L936" s="469">
        <v>1294216.7</v>
      </c>
      <c r="M936" s="28">
        <v>2707000</v>
      </c>
      <c r="N936" s="28">
        <v>2707000</v>
      </c>
      <c r="O936" s="408"/>
    </row>
    <row r="937" spans="1:15" s="20" customFormat="1">
      <c r="A937" s="253"/>
      <c r="B937" s="231"/>
      <c r="C937" s="32" t="s">
        <v>47</v>
      </c>
      <c r="D937" s="77">
        <v>22020701</v>
      </c>
      <c r="E937" s="135" t="s">
        <v>769</v>
      </c>
      <c r="F937" s="136">
        <v>48187800</v>
      </c>
      <c r="G937" s="28">
        <v>24093900</v>
      </c>
      <c r="H937" s="28"/>
      <c r="I937" s="28"/>
      <c r="J937" s="28">
        <v>24093900</v>
      </c>
      <c r="K937" s="488">
        <f t="shared" si="174"/>
        <v>1055312.82</v>
      </c>
      <c r="L937" s="469">
        <v>23038587.18</v>
      </c>
      <c r="M937" s="28">
        <f>G937*10%+G937</f>
        <v>26503290</v>
      </c>
      <c r="N937" s="28">
        <f>M937*10%+M937</f>
        <v>29153619</v>
      </c>
      <c r="O937" s="408"/>
    </row>
    <row r="938" spans="1:15" s="20" customFormat="1">
      <c r="A938" s="253"/>
      <c r="B938" s="231"/>
      <c r="C938" s="32" t="s">
        <v>47</v>
      </c>
      <c r="D938" s="77">
        <v>22020703</v>
      </c>
      <c r="E938" s="135" t="s">
        <v>770</v>
      </c>
      <c r="F938" s="136">
        <v>25000000</v>
      </c>
      <c r="G938" s="28">
        <v>12500000</v>
      </c>
      <c r="H938" s="28"/>
      <c r="I938" s="28"/>
      <c r="J938" s="28">
        <v>12500000</v>
      </c>
      <c r="K938" s="488">
        <f t="shared" si="174"/>
        <v>547500</v>
      </c>
      <c r="L938" s="469">
        <v>11952500</v>
      </c>
      <c r="M938" s="28">
        <f>G938*10%+G938</f>
        <v>13750000</v>
      </c>
      <c r="N938" s="28">
        <f>M938*10%+M938</f>
        <v>15125000</v>
      </c>
      <c r="O938" s="408"/>
    </row>
    <row r="939" spans="1:15" s="20" customFormat="1">
      <c r="A939" s="253"/>
      <c r="B939" s="231"/>
      <c r="C939" s="32" t="s">
        <v>47</v>
      </c>
      <c r="D939" s="77">
        <v>22020709</v>
      </c>
      <c r="E939" s="135" t="s">
        <v>771</v>
      </c>
      <c r="F939" s="136">
        <v>3240000</v>
      </c>
      <c r="G939" s="28">
        <v>620000</v>
      </c>
      <c r="H939" s="28"/>
      <c r="I939" s="28"/>
      <c r="J939" s="28">
        <v>620000</v>
      </c>
      <c r="K939" s="488">
        <f t="shared" si="174"/>
        <v>27156</v>
      </c>
      <c r="L939" s="469">
        <v>592844</v>
      </c>
      <c r="M939" s="28">
        <v>1080000</v>
      </c>
      <c r="N939" s="28">
        <v>1080000</v>
      </c>
      <c r="O939" s="408"/>
    </row>
    <row r="940" spans="1:15" s="20" customFormat="1">
      <c r="A940" s="253"/>
      <c r="B940" s="231"/>
      <c r="C940" s="32" t="s">
        <v>47</v>
      </c>
      <c r="D940" s="77">
        <v>22020801</v>
      </c>
      <c r="E940" s="135" t="s">
        <v>747</v>
      </c>
      <c r="F940" s="136">
        <v>7221000</v>
      </c>
      <c r="G940" s="28">
        <v>3610500</v>
      </c>
      <c r="H940" s="28"/>
      <c r="I940" s="28"/>
      <c r="J940" s="28">
        <v>3610500</v>
      </c>
      <c r="K940" s="488">
        <f t="shared" si="174"/>
        <v>158139.9</v>
      </c>
      <c r="L940" s="469">
        <v>3452360.1</v>
      </c>
      <c r="M940" s="28">
        <v>7221000</v>
      </c>
      <c r="N940" s="28">
        <v>7221000</v>
      </c>
      <c r="O940" s="408"/>
    </row>
    <row r="941" spans="1:15" s="20" customFormat="1">
      <c r="A941" s="253"/>
      <c r="B941" s="231"/>
      <c r="C941" s="32" t="s">
        <v>47</v>
      </c>
      <c r="D941" s="77">
        <v>22020803</v>
      </c>
      <c r="E941" s="135" t="s">
        <v>748</v>
      </c>
      <c r="F941" s="136">
        <v>6216000</v>
      </c>
      <c r="G941" s="28">
        <v>3108000</v>
      </c>
      <c r="H941" s="28"/>
      <c r="I941" s="28"/>
      <c r="J941" s="28">
        <v>3108000</v>
      </c>
      <c r="K941" s="488">
        <f t="shared" si="174"/>
        <v>136130.4</v>
      </c>
      <c r="L941" s="469">
        <v>2971869.6</v>
      </c>
      <c r="M941" s="28">
        <v>6216000</v>
      </c>
      <c r="N941" s="28">
        <v>6216000</v>
      </c>
      <c r="O941" s="408"/>
    </row>
    <row r="942" spans="1:15" s="20" customFormat="1">
      <c r="A942" s="253"/>
      <c r="B942" s="231"/>
      <c r="C942" s="32" t="s">
        <v>47</v>
      </c>
      <c r="D942" s="77">
        <v>22020901</v>
      </c>
      <c r="E942" s="135" t="s">
        <v>749</v>
      </c>
      <c r="F942" s="136">
        <v>36000</v>
      </c>
      <c r="G942" s="28">
        <v>18000</v>
      </c>
      <c r="H942" s="28"/>
      <c r="I942" s="28"/>
      <c r="J942" s="28">
        <v>18000</v>
      </c>
      <c r="K942" s="488">
        <f t="shared" si="174"/>
        <v>788.4</v>
      </c>
      <c r="L942" s="469">
        <v>17211.600000000002</v>
      </c>
      <c r="M942" s="28">
        <v>36000</v>
      </c>
      <c r="N942" s="28">
        <v>36000</v>
      </c>
      <c r="O942" s="408"/>
    </row>
    <row r="943" spans="1:15" s="20" customFormat="1">
      <c r="A943" s="253"/>
      <c r="B943" s="231"/>
      <c r="C943" s="32" t="s">
        <v>47</v>
      </c>
      <c r="D943" s="77">
        <v>22020906</v>
      </c>
      <c r="E943" s="135" t="s">
        <v>759</v>
      </c>
      <c r="F943" s="136">
        <v>300000000</v>
      </c>
      <c r="G943" s="28">
        <v>150000000</v>
      </c>
      <c r="H943" s="28"/>
      <c r="I943" s="28"/>
      <c r="J943" s="28">
        <v>150000000</v>
      </c>
      <c r="K943" s="488">
        <f t="shared" si="174"/>
        <v>6570000</v>
      </c>
      <c r="L943" s="469">
        <v>143430000</v>
      </c>
      <c r="M943" s="28">
        <v>300000000</v>
      </c>
      <c r="N943" s="28">
        <v>300000000</v>
      </c>
      <c r="O943" s="408"/>
    </row>
    <row r="944" spans="1:15" s="20" customFormat="1">
      <c r="A944" s="253"/>
      <c r="B944" s="231"/>
      <c r="C944" s="32" t="s">
        <v>47</v>
      </c>
      <c r="D944" s="77">
        <v>22021001</v>
      </c>
      <c r="E944" s="135" t="s">
        <v>772</v>
      </c>
      <c r="F944" s="136">
        <v>2500000</v>
      </c>
      <c r="G944" s="28">
        <v>1250000</v>
      </c>
      <c r="H944" s="28"/>
      <c r="I944" s="28"/>
      <c r="J944" s="28">
        <v>1250000</v>
      </c>
      <c r="K944" s="488">
        <f t="shared" si="174"/>
        <v>54750</v>
      </c>
      <c r="L944" s="469">
        <v>1195250</v>
      </c>
      <c r="M944" s="28">
        <v>2500000</v>
      </c>
      <c r="N944" s="28">
        <v>2500000</v>
      </c>
      <c r="O944" s="408"/>
    </row>
    <row r="945" spans="1:15" s="20" customFormat="1">
      <c r="A945" s="253"/>
      <c r="B945" s="231"/>
      <c r="C945" s="32" t="s">
        <v>47</v>
      </c>
      <c r="D945" s="77">
        <v>22021003</v>
      </c>
      <c r="E945" s="135" t="s">
        <v>760</v>
      </c>
      <c r="F945" s="136">
        <v>27450000</v>
      </c>
      <c r="G945" s="28">
        <v>13725000</v>
      </c>
      <c r="H945" s="28"/>
      <c r="I945" s="28"/>
      <c r="J945" s="28">
        <v>13725000</v>
      </c>
      <c r="K945" s="488">
        <f t="shared" si="174"/>
        <v>601155</v>
      </c>
      <c r="L945" s="469">
        <v>13123845</v>
      </c>
      <c r="M945" s="28">
        <v>23800000</v>
      </c>
      <c r="N945" s="28">
        <v>23800000</v>
      </c>
      <c r="O945" s="408"/>
    </row>
    <row r="946" spans="1:15" s="20" customFormat="1">
      <c r="A946" s="253"/>
      <c r="B946" s="231"/>
      <c r="C946" s="32" t="s">
        <v>47</v>
      </c>
      <c r="D946" s="77">
        <v>22021007</v>
      </c>
      <c r="E946" s="135" t="s">
        <v>856</v>
      </c>
      <c r="F946" s="136">
        <v>50250000</v>
      </c>
      <c r="G946" s="28">
        <v>50250000</v>
      </c>
      <c r="H946" s="28"/>
      <c r="I946" s="28"/>
      <c r="J946" s="28">
        <v>50250000</v>
      </c>
      <c r="K946" s="488">
        <f t="shared" si="174"/>
        <v>2200950</v>
      </c>
      <c r="L946" s="469">
        <v>48049050</v>
      </c>
      <c r="M946" s="28">
        <v>50250000</v>
      </c>
      <c r="N946" s="28">
        <v>50250000</v>
      </c>
    </row>
    <row r="947" spans="1:15" s="20" customFormat="1">
      <c r="A947" s="238"/>
      <c r="B947" s="231"/>
      <c r="C947" s="30" t="s">
        <v>1837</v>
      </c>
      <c r="D947" s="23"/>
      <c r="E947" s="25"/>
      <c r="F947" s="137">
        <f>SUM(F921:F946)</f>
        <v>585883800</v>
      </c>
      <c r="G947" s="114">
        <f>SUM(G921:G946)</f>
        <v>299841900</v>
      </c>
      <c r="H947" s="114">
        <f t="shared" ref="H947:I947" si="175">SUM(H921:H946)</f>
        <v>0</v>
      </c>
      <c r="I947" s="114">
        <f t="shared" si="175"/>
        <v>0</v>
      </c>
      <c r="J947" s="114">
        <f>SUM(J921:J946)</f>
        <v>299841900</v>
      </c>
      <c r="K947" s="490">
        <f>SUM(K921:K946)</f>
        <v>13133075.219999999</v>
      </c>
      <c r="L947" s="468">
        <f>SUM(L921:L946)</f>
        <v>286708824.77999997</v>
      </c>
      <c r="M947" s="114">
        <f>SUM(M921:M946)</f>
        <v>539777290</v>
      </c>
      <c r="N947" s="114">
        <f>SUM(N921:N946)</f>
        <v>543822419</v>
      </c>
    </row>
    <row r="948" spans="1:15" s="66" customFormat="1" ht="30">
      <c r="A948" s="238" t="s">
        <v>928</v>
      </c>
      <c r="B948" s="231" t="s">
        <v>1875</v>
      </c>
      <c r="C948" s="30"/>
      <c r="D948" s="23"/>
      <c r="E948" s="25"/>
      <c r="F948" s="137">
        <f>F947+F920</f>
        <v>1212969274.2383332</v>
      </c>
      <c r="G948" s="114">
        <f>G947+G920</f>
        <v>926927374.23833323</v>
      </c>
      <c r="H948" s="114">
        <f t="shared" ref="H948:I948" si="176">H947+H920</f>
        <v>0</v>
      </c>
      <c r="I948" s="114">
        <f t="shared" si="176"/>
        <v>0</v>
      </c>
      <c r="J948" s="114">
        <f>J947+J920</f>
        <v>926927374.23833323</v>
      </c>
      <c r="K948" s="490"/>
      <c r="L948" s="468">
        <f>L947+L920</f>
        <v>913794299.0183332</v>
      </c>
      <c r="M948" s="114">
        <f>M947+M920</f>
        <v>1229571311.6621666</v>
      </c>
      <c r="N948" s="114">
        <f>N947+N920</f>
        <v>1302595842.8283832</v>
      </c>
    </row>
    <row r="949" spans="1:15" s="20" customFormat="1" ht="21">
      <c r="A949" s="257"/>
      <c r="B949" s="448"/>
      <c r="C949" s="78"/>
      <c r="D949" s="234"/>
      <c r="E949" s="235"/>
      <c r="F949" s="220"/>
      <c r="G949" s="22"/>
      <c r="H949" s="22"/>
      <c r="I949" s="22"/>
      <c r="J949" s="28">
        <f>G949+H949-I949</f>
        <v>0</v>
      </c>
      <c r="K949" s="488">
        <f>H949+I949-J949</f>
        <v>0</v>
      </c>
      <c r="L949" s="468">
        <f>G949-J949</f>
        <v>0</v>
      </c>
      <c r="M949" s="22"/>
      <c r="N949" s="22"/>
    </row>
    <row r="950" spans="1:15" s="20" customFormat="1" ht="30">
      <c r="A950" s="238" t="s">
        <v>931</v>
      </c>
      <c r="B950" s="231" t="s">
        <v>932</v>
      </c>
      <c r="C950" s="32" t="s">
        <v>46</v>
      </c>
      <c r="D950" s="77">
        <v>21010101</v>
      </c>
      <c r="E950" s="135" t="s">
        <v>725</v>
      </c>
      <c r="F950" s="136">
        <v>178936986.90000001</v>
      </c>
      <c r="G950" s="28">
        <v>178936986.90000001</v>
      </c>
      <c r="H950" s="28"/>
      <c r="I950" s="28"/>
      <c r="J950" s="28">
        <v>178936986.90000001</v>
      </c>
      <c r="K950" s="488"/>
      <c r="L950" s="467">
        <v>178936986.90000001</v>
      </c>
      <c r="M950" s="28">
        <f>G950*10%+G950</f>
        <v>196830685.59</v>
      </c>
      <c r="N950" s="28">
        <f>M950*10%+M950</f>
        <v>216513754.14899999</v>
      </c>
    </row>
    <row r="951" spans="1:15" s="20" customFormat="1">
      <c r="A951" s="238"/>
      <c r="B951" s="231"/>
      <c r="C951" s="30" t="s">
        <v>1842</v>
      </c>
      <c r="D951" s="23"/>
      <c r="E951" s="25"/>
      <c r="F951" s="137">
        <f>SUM(F950)</f>
        <v>178936986.90000001</v>
      </c>
      <c r="G951" s="114">
        <f>SUM(G950)</f>
        <v>178936986.90000001</v>
      </c>
      <c r="H951" s="114">
        <f t="shared" ref="H951:I951" si="177">SUM(H950)</f>
        <v>0</v>
      </c>
      <c r="I951" s="114">
        <f t="shared" si="177"/>
        <v>0</v>
      </c>
      <c r="J951" s="114">
        <f>SUM(J950)</f>
        <v>178936986.90000001</v>
      </c>
      <c r="K951" s="490"/>
      <c r="L951" s="468">
        <f>SUM(L950)</f>
        <v>178936986.90000001</v>
      </c>
      <c r="M951" s="114">
        <f>SUM(M950)</f>
        <v>196830685.59</v>
      </c>
      <c r="N951" s="114">
        <f>SUM(N950)</f>
        <v>216513754.14899999</v>
      </c>
    </row>
    <row r="952" spans="1:15" s="20" customFormat="1">
      <c r="A952" s="253"/>
      <c r="B952" s="231"/>
      <c r="C952" s="32" t="s">
        <v>47</v>
      </c>
      <c r="D952" s="77">
        <v>22020105</v>
      </c>
      <c r="E952" s="135" t="s">
        <v>1733</v>
      </c>
      <c r="F952" s="136">
        <f>844000+10000000+2000000</f>
        <v>12844000</v>
      </c>
      <c r="G952" s="28">
        <f>844000+10000000+2000000</f>
        <v>12844000</v>
      </c>
      <c r="H952" s="28"/>
      <c r="I952" s="28"/>
      <c r="J952" s="28">
        <v>12844000</v>
      </c>
      <c r="K952" s="488">
        <f>J952*4.38%</f>
        <v>562567.19999999995</v>
      </c>
      <c r="L952" s="469">
        <v>12281432.800000001</v>
      </c>
      <c r="M952" s="28">
        <v>844000</v>
      </c>
      <c r="N952" s="28">
        <v>844000</v>
      </c>
    </row>
    <row r="953" spans="1:15" s="20" customFormat="1">
      <c r="A953" s="253"/>
      <c r="B953" s="231"/>
      <c r="C953" s="32" t="s">
        <v>47</v>
      </c>
      <c r="D953" s="77">
        <v>22020304</v>
      </c>
      <c r="E953" s="135" t="s">
        <v>851</v>
      </c>
      <c r="F953" s="136">
        <v>200000</v>
      </c>
      <c r="G953" s="28">
        <v>0</v>
      </c>
      <c r="H953" s="28"/>
      <c r="I953" s="28"/>
      <c r="J953" s="28">
        <v>0</v>
      </c>
      <c r="K953" s="488">
        <f t="shared" ref="K953:K969" si="178">J953*4.38%</f>
        <v>0</v>
      </c>
      <c r="L953" s="469">
        <v>0</v>
      </c>
      <c r="M953" s="28">
        <v>200000</v>
      </c>
      <c r="N953" s="28">
        <v>200000</v>
      </c>
    </row>
    <row r="954" spans="1:15" s="20" customFormat="1">
      <c r="A954" s="253"/>
      <c r="B954" s="231"/>
      <c r="C954" s="32" t="s">
        <v>47</v>
      </c>
      <c r="D954" s="77">
        <v>22020305</v>
      </c>
      <c r="E954" s="135" t="s">
        <v>755</v>
      </c>
      <c r="F954" s="136">
        <v>1506863</v>
      </c>
      <c r="G954" s="28">
        <v>1506863</v>
      </c>
      <c r="H954" s="28"/>
      <c r="I954" s="28"/>
      <c r="J954" s="28">
        <v>1506863</v>
      </c>
      <c r="K954" s="488">
        <f t="shared" si="178"/>
        <v>66000.599399999992</v>
      </c>
      <c r="L954" s="469">
        <v>1440862.4006000001</v>
      </c>
      <c r="M954" s="28">
        <v>1506863</v>
      </c>
      <c r="N954" s="28">
        <v>1506863</v>
      </c>
    </row>
    <row r="955" spans="1:15" s="20" customFormat="1">
      <c r="A955" s="253"/>
      <c r="B955" s="231"/>
      <c r="C955" s="32" t="s">
        <v>47</v>
      </c>
      <c r="D955" s="77">
        <v>22020311</v>
      </c>
      <c r="E955" s="135" t="s">
        <v>823</v>
      </c>
      <c r="F955" s="136">
        <v>2000000</v>
      </c>
      <c r="G955" s="28">
        <v>2000000</v>
      </c>
      <c r="H955" s="28"/>
      <c r="I955" s="28"/>
      <c r="J955" s="28">
        <v>2000000</v>
      </c>
      <c r="K955" s="488">
        <f t="shared" si="178"/>
        <v>87600</v>
      </c>
      <c r="L955" s="469">
        <v>1912400</v>
      </c>
      <c r="M955" s="28">
        <v>12000000</v>
      </c>
      <c r="N955" s="28">
        <v>12000000</v>
      </c>
    </row>
    <row r="956" spans="1:15" s="20" customFormat="1">
      <c r="A956" s="253"/>
      <c r="B956" s="231"/>
      <c r="C956" s="32" t="s">
        <v>47</v>
      </c>
      <c r="D956" s="77">
        <v>22020401</v>
      </c>
      <c r="E956" s="135" t="s">
        <v>741</v>
      </c>
      <c r="F956" s="136">
        <v>2250000</v>
      </c>
      <c r="G956" s="28">
        <v>2250000</v>
      </c>
      <c r="H956" s="28"/>
      <c r="I956" s="28"/>
      <c r="J956" s="28">
        <v>2250000</v>
      </c>
      <c r="K956" s="488">
        <f t="shared" si="178"/>
        <v>98550</v>
      </c>
      <c r="L956" s="469">
        <v>2151450</v>
      </c>
      <c r="M956" s="28">
        <v>2250000</v>
      </c>
      <c r="N956" s="28">
        <v>2250000</v>
      </c>
    </row>
    <row r="957" spans="1:15" s="20" customFormat="1">
      <c r="A957" s="253"/>
      <c r="B957" s="231"/>
      <c r="C957" s="32" t="s">
        <v>47</v>
      </c>
      <c r="D957" s="77">
        <v>22020710</v>
      </c>
      <c r="E957" s="135" t="s">
        <v>820</v>
      </c>
      <c r="F957" s="136">
        <v>5000000</v>
      </c>
      <c r="G957" s="28">
        <v>5000000</v>
      </c>
      <c r="H957" s="28"/>
      <c r="I957" s="28"/>
      <c r="J957" s="28">
        <v>5000000</v>
      </c>
      <c r="K957" s="488">
        <f t="shared" si="178"/>
        <v>219000</v>
      </c>
      <c r="L957" s="469">
        <v>4781000</v>
      </c>
      <c r="M957" s="28">
        <v>20279416</v>
      </c>
      <c r="N957" s="28">
        <v>20279416</v>
      </c>
    </row>
    <row r="958" spans="1:15" s="20" customFormat="1">
      <c r="A958" s="253"/>
      <c r="B958" s="231"/>
      <c r="C958" s="32" t="s">
        <v>47</v>
      </c>
      <c r="D958" s="77">
        <v>22020801</v>
      </c>
      <c r="E958" s="135" t="s">
        <v>747</v>
      </c>
      <c r="F958" s="136">
        <v>1950000</v>
      </c>
      <c r="G958" s="28">
        <v>1950000</v>
      </c>
      <c r="H958" s="28"/>
      <c r="I958" s="28"/>
      <c r="J958" s="28">
        <v>1950000</v>
      </c>
      <c r="K958" s="488">
        <f t="shared" si="178"/>
        <v>85410</v>
      </c>
      <c r="L958" s="469">
        <v>1864590</v>
      </c>
      <c r="M958" s="28">
        <v>1950000</v>
      </c>
      <c r="N958" s="28">
        <v>1950000</v>
      </c>
    </row>
    <row r="959" spans="1:15" s="20" customFormat="1">
      <c r="A959" s="253"/>
      <c r="B959" s="231"/>
      <c r="C959" s="32" t="s">
        <v>47</v>
      </c>
      <c r="D959" s="77">
        <v>22020803</v>
      </c>
      <c r="E959" s="135" t="s">
        <v>748</v>
      </c>
      <c r="F959" s="136">
        <v>960000</v>
      </c>
      <c r="G959" s="28">
        <v>960000</v>
      </c>
      <c r="H959" s="28"/>
      <c r="I959" s="28"/>
      <c r="J959" s="28">
        <v>960000</v>
      </c>
      <c r="K959" s="488">
        <f t="shared" si="178"/>
        <v>42048</v>
      </c>
      <c r="L959" s="469">
        <v>917952</v>
      </c>
      <c r="M959" s="28">
        <v>960000</v>
      </c>
      <c r="N959" s="28">
        <v>960000</v>
      </c>
    </row>
    <row r="960" spans="1:15" s="20" customFormat="1">
      <c r="A960" s="253"/>
      <c r="B960" s="231"/>
      <c r="C960" s="32" t="s">
        <v>47</v>
      </c>
      <c r="D960" s="77">
        <v>22021001</v>
      </c>
      <c r="E960" s="135" t="s">
        <v>772</v>
      </c>
      <c r="F960" s="136">
        <v>2000000</v>
      </c>
      <c r="G960" s="28">
        <v>2000000</v>
      </c>
      <c r="H960" s="28"/>
      <c r="I960" s="28"/>
      <c r="J960" s="28">
        <v>2000000</v>
      </c>
      <c r="K960" s="488">
        <f t="shared" si="178"/>
        <v>87600</v>
      </c>
      <c r="L960" s="469">
        <v>1912400</v>
      </c>
      <c r="M960" s="28">
        <v>14530000</v>
      </c>
      <c r="N960" s="28">
        <v>14530000</v>
      </c>
    </row>
    <row r="961" spans="1:14" s="20" customFormat="1">
      <c r="A961" s="253"/>
      <c r="B961" s="231"/>
      <c r="C961" s="32" t="s">
        <v>47</v>
      </c>
      <c r="D961" s="77">
        <v>22021003</v>
      </c>
      <c r="E961" s="135" t="s">
        <v>760</v>
      </c>
      <c r="F961" s="136">
        <f>2000000+2666490+6000000+1000000</f>
        <v>11666490</v>
      </c>
      <c r="G961" s="28">
        <f>2000000+2666490+6000000+1000000</f>
        <v>11666490</v>
      </c>
      <c r="H961" s="28"/>
      <c r="I961" s="28"/>
      <c r="J961" s="28">
        <v>11666490</v>
      </c>
      <c r="K961" s="488">
        <f t="shared" si="178"/>
        <v>510992.26199999999</v>
      </c>
      <c r="L961" s="469">
        <v>11155497.738</v>
      </c>
      <c r="M961" s="28">
        <v>2000000</v>
      </c>
      <c r="N961" s="28">
        <v>2000000</v>
      </c>
    </row>
    <row r="962" spans="1:14" s="20" customFormat="1">
      <c r="A962" s="253"/>
      <c r="B962" s="231"/>
      <c r="C962" s="32" t="s">
        <v>47</v>
      </c>
      <c r="D962" s="77">
        <v>22021031</v>
      </c>
      <c r="E962" s="135" t="s">
        <v>933</v>
      </c>
      <c r="F962" s="136"/>
      <c r="G962" s="28">
        <v>0</v>
      </c>
      <c r="H962" s="28"/>
      <c r="I962" s="28"/>
      <c r="J962" s="28">
        <v>0</v>
      </c>
      <c r="K962" s="488">
        <f t="shared" si="178"/>
        <v>0</v>
      </c>
      <c r="L962" s="469">
        <v>0</v>
      </c>
      <c r="M962" s="28">
        <v>0</v>
      </c>
      <c r="N962" s="28">
        <v>0</v>
      </c>
    </row>
    <row r="963" spans="1:14" s="20" customFormat="1">
      <c r="A963" s="253"/>
      <c r="B963" s="231"/>
      <c r="C963" s="32" t="s">
        <v>47</v>
      </c>
      <c r="D963" s="77">
        <v>22020316</v>
      </c>
      <c r="E963" s="135" t="s">
        <v>934</v>
      </c>
      <c r="F963" s="136"/>
      <c r="G963" s="28">
        <v>12000000</v>
      </c>
      <c r="H963" s="28"/>
      <c r="I963" s="28"/>
      <c r="J963" s="28">
        <v>12000000</v>
      </c>
      <c r="K963" s="488">
        <f t="shared" si="178"/>
        <v>525600</v>
      </c>
      <c r="L963" s="469">
        <v>11474400</v>
      </c>
      <c r="M963" s="28">
        <f>G963*10%+G963</f>
        <v>13200000</v>
      </c>
      <c r="N963" s="28">
        <f>M963*10%+M963</f>
        <v>14520000</v>
      </c>
    </row>
    <row r="964" spans="1:14" s="20" customFormat="1">
      <c r="A964" s="253"/>
      <c r="B964" s="231"/>
      <c r="C964" s="32" t="s">
        <v>47</v>
      </c>
      <c r="D964" s="77">
        <v>22020620</v>
      </c>
      <c r="E964" s="135" t="s">
        <v>2611</v>
      </c>
      <c r="F964" s="136"/>
      <c r="G964" s="28"/>
      <c r="H964" s="28">
        <v>4162500</v>
      </c>
      <c r="I964" s="28"/>
      <c r="J964" s="28">
        <v>4162500</v>
      </c>
      <c r="K964" s="488">
        <f t="shared" si="178"/>
        <v>182317.5</v>
      </c>
      <c r="L964" s="469">
        <v>3980182.5</v>
      </c>
      <c r="M964" s="28"/>
      <c r="N964" s="28"/>
    </row>
    <row r="965" spans="1:14" s="20" customFormat="1">
      <c r="A965" s="253"/>
      <c r="B965" s="231"/>
      <c r="C965" s="32" t="s">
        <v>47</v>
      </c>
      <c r="D965" s="77">
        <v>22020619</v>
      </c>
      <c r="E965" s="135" t="s">
        <v>590</v>
      </c>
      <c r="F965" s="136"/>
      <c r="G965" s="28"/>
      <c r="H965" s="28">
        <v>2420000</v>
      </c>
      <c r="I965" s="28"/>
      <c r="J965" s="28">
        <v>2420000</v>
      </c>
      <c r="K965" s="488">
        <f t="shared" si="178"/>
        <v>105996</v>
      </c>
      <c r="L965" s="469">
        <v>2314004</v>
      </c>
      <c r="M965" s="28"/>
      <c r="N965" s="28"/>
    </row>
    <row r="966" spans="1:14" s="20" customFormat="1">
      <c r="A966" s="253"/>
      <c r="B966" s="231"/>
      <c r="C966" s="32" t="s">
        <v>47</v>
      </c>
      <c r="D966" s="77"/>
      <c r="E966" s="135" t="s">
        <v>801</v>
      </c>
      <c r="F966" s="136"/>
      <c r="G966" s="28"/>
      <c r="H966" s="28">
        <v>943075</v>
      </c>
      <c r="I966" s="28"/>
      <c r="J966" s="28">
        <v>943075</v>
      </c>
      <c r="K966" s="488">
        <f t="shared" si="178"/>
        <v>41306.684999999998</v>
      </c>
      <c r="L966" s="469">
        <v>901768.31500000006</v>
      </c>
      <c r="M966" s="28"/>
      <c r="N966" s="28"/>
    </row>
    <row r="967" spans="1:14" s="20" customFormat="1">
      <c r="A967" s="253"/>
      <c r="B967" s="231"/>
      <c r="C967" s="32" t="s">
        <v>47</v>
      </c>
      <c r="D967" s="77"/>
      <c r="E967" s="135" t="s">
        <v>2634</v>
      </c>
      <c r="F967" s="136"/>
      <c r="G967" s="28"/>
      <c r="H967" s="28">
        <v>36000000</v>
      </c>
      <c r="I967" s="28"/>
      <c r="J967" s="28">
        <v>36000000</v>
      </c>
      <c r="K967" s="488">
        <f t="shared" si="178"/>
        <v>1576800</v>
      </c>
      <c r="L967" s="469">
        <v>34423200</v>
      </c>
      <c r="M967" s="28"/>
      <c r="N967" s="28"/>
    </row>
    <row r="968" spans="1:14" s="20" customFormat="1">
      <c r="A968" s="253"/>
      <c r="B968" s="231"/>
      <c r="C968" s="32" t="s">
        <v>47</v>
      </c>
      <c r="D968" s="77"/>
      <c r="E968" s="135" t="s">
        <v>2612</v>
      </c>
      <c r="F968" s="136"/>
      <c r="G968" s="28"/>
      <c r="H968" s="28">
        <v>6000000</v>
      </c>
      <c r="I968" s="28"/>
      <c r="J968" s="28">
        <v>6000000</v>
      </c>
      <c r="K968" s="488">
        <f t="shared" si="178"/>
        <v>262800</v>
      </c>
      <c r="L968" s="469">
        <v>5737200</v>
      </c>
      <c r="M968" s="28"/>
      <c r="N968" s="28"/>
    </row>
    <row r="969" spans="1:14" s="20" customFormat="1">
      <c r="A969" s="238"/>
      <c r="B969" s="231"/>
      <c r="C969" s="30" t="s">
        <v>1837</v>
      </c>
      <c r="D969" s="23"/>
      <c r="E969" s="25"/>
      <c r="F969" s="137">
        <f>SUM(F952:F962)</f>
        <v>40377353</v>
      </c>
      <c r="G969" s="114">
        <f>SUM(G952:G968)</f>
        <v>52177353</v>
      </c>
      <c r="H969" s="114">
        <f t="shared" ref="H969:I969" si="179">SUM(H952:H968)</f>
        <v>49525575</v>
      </c>
      <c r="I969" s="114">
        <f t="shared" si="179"/>
        <v>0</v>
      </c>
      <c r="J969" s="114">
        <f>SUM(J952:J968)</f>
        <v>101702928</v>
      </c>
      <c r="K969" s="490">
        <f t="shared" si="178"/>
        <v>4454588.2463999996</v>
      </c>
      <c r="L969" s="468">
        <f>SUM(L952:L968)</f>
        <v>97248339.753600001</v>
      </c>
      <c r="M969" s="114">
        <f>SUM(M952:M963)</f>
        <v>69720279</v>
      </c>
      <c r="N969" s="114">
        <f>SUM(N952:N963)</f>
        <v>71040279</v>
      </c>
    </row>
    <row r="970" spans="1:14" s="66" customFormat="1" ht="30">
      <c r="A970" s="238" t="s">
        <v>931</v>
      </c>
      <c r="B970" s="231" t="s">
        <v>1876</v>
      </c>
      <c r="C970" s="30"/>
      <c r="D970" s="23"/>
      <c r="E970" s="25"/>
      <c r="F970" s="137">
        <f>F969+F951</f>
        <v>219314339.90000001</v>
      </c>
      <c r="G970" s="114">
        <f>G969+G951</f>
        <v>231114339.90000001</v>
      </c>
      <c r="H970" s="114">
        <f t="shared" ref="H970:I970" si="180">H969+H951</f>
        <v>49525575</v>
      </c>
      <c r="I970" s="114">
        <f t="shared" si="180"/>
        <v>0</v>
      </c>
      <c r="J970" s="114">
        <f>J969+J951</f>
        <v>280639914.89999998</v>
      </c>
      <c r="K970" s="490"/>
      <c r="L970" s="468">
        <f>L969+L951</f>
        <v>276185326.65359998</v>
      </c>
      <c r="M970" s="114">
        <f>M951+M969</f>
        <v>266550964.59</v>
      </c>
      <c r="N970" s="114">
        <f>N969+N951</f>
        <v>287554033.14899999</v>
      </c>
    </row>
    <row r="971" spans="1:14" s="20" customFormat="1" ht="21">
      <c r="A971" s="252"/>
      <c r="B971" s="443"/>
      <c r="C971" s="228"/>
      <c r="D971" s="229"/>
      <c r="E971" s="230"/>
      <c r="F971" s="215"/>
      <c r="G971" s="296"/>
      <c r="H971" s="296"/>
      <c r="I971" s="296"/>
      <c r="J971" s="28"/>
      <c r="K971" s="488"/>
      <c r="L971" s="468"/>
      <c r="M971" s="296"/>
      <c r="N971" s="296"/>
    </row>
    <row r="972" spans="1:14" s="20" customFormat="1" ht="30">
      <c r="A972" s="238" t="s">
        <v>935</v>
      </c>
      <c r="B972" s="231" t="s">
        <v>936</v>
      </c>
      <c r="C972" s="32" t="s">
        <v>46</v>
      </c>
      <c r="D972" s="77">
        <v>21010101</v>
      </c>
      <c r="E972" s="135" t="s">
        <v>725</v>
      </c>
      <c r="F972" s="136">
        <v>169391568.36000001</v>
      </c>
      <c r="G972" s="28">
        <v>169391568.36000001</v>
      </c>
      <c r="H972" s="28"/>
      <c r="I972" s="28"/>
      <c r="J972" s="28">
        <v>169391568.36000001</v>
      </c>
      <c r="K972" s="488"/>
      <c r="L972" s="467">
        <v>169391568.36000001</v>
      </c>
      <c r="M972" s="28">
        <v>172521723.19999999</v>
      </c>
      <c r="N972" s="28">
        <v>173039288.37</v>
      </c>
    </row>
    <row r="973" spans="1:14" s="20" customFormat="1">
      <c r="A973" s="253"/>
      <c r="B973" s="231"/>
      <c r="C973" s="32" t="s">
        <v>46</v>
      </c>
      <c r="D973" s="77">
        <v>21020101</v>
      </c>
      <c r="E973" s="135" t="s">
        <v>726</v>
      </c>
      <c r="F973" s="136">
        <v>41701618.829999998</v>
      </c>
      <c r="G973" s="28">
        <v>41701618.829999998</v>
      </c>
      <c r="H973" s="28"/>
      <c r="I973" s="28"/>
      <c r="J973" s="28">
        <v>41701618.829999998</v>
      </c>
      <c r="K973" s="488"/>
      <c r="L973" s="467">
        <v>41701618.829999998</v>
      </c>
      <c r="M973" s="28">
        <v>42474463.439999998</v>
      </c>
      <c r="N973" s="28">
        <v>42601886.829999998</v>
      </c>
    </row>
    <row r="974" spans="1:14" s="20" customFormat="1">
      <c r="A974" s="253"/>
      <c r="B974" s="231"/>
      <c r="C974" s="32" t="s">
        <v>46</v>
      </c>
      <c r="D974" s="77">
        <v>21020102</v>
      </c>
      <c r="E974" s="135" t="s">
        <v>727</v>
      </c>
      <c r="F974" s="136">
        <v>16680647.529999999</v>
      </c>
      <c r="G974" s="28">
        <v>16680647.529999999</v>
      </c>
      <c r="H974" s="28"/>
      <c r="I974" s="28"/>
      <c r="J974" s="28">
        <v>16680647.529999999</v>
      </c>
      <c r="K974" s="488"/>
      <c r="L974" s="467">
        <v>16680647.529999999</v>
      </c>
      <c r="M974" s="28">
        <v>16989785.379999999</v>
      </c>
      <c r="N974" s="28">
        <v>17040754.73</v>
      </c>
    </row>
    <row r="975" spans="1:14" s="20" customFormat="1">
      <c r="A975" s="253"/>
      <c r="B975" s="231"/>
      <c r="C975" s="32" t="s">
        <v>46</v>
      </c>
      <c r="D975" s="77">
        <v>21020103</v>
      </c>
      <c r="E975" s="135" t="s">
        <v>728</v>
      </c>
      <c r="F975" s="136">
        <v>8340323.7699999996</v>
      </c>
      <c r="G975" s="28">
        <v>8340323.7699999996</v>
      </c>
      <c r="H975" s="28"/>
      <c r="I975" s="28"/>
      <c r="J975" s="28">
        <v>8340323.7699999996</v>
      </c>
      <c r="K975" s="488"/>
      <c r="L975" s="467">
        <v>8340323.7699999996</v>
      </c>
      <c r="M975" s="28">
        <v>8494892.6899999995</v>
      </c>
      <c r="N975" s="28">
        <v>8520377.3699999992</v>
      </c>
    </row>
    <row r="976" spans="1:14" s="20" customFormat="1">
      <c r="A976" s="253"/>
      <c r="B976" s="231"/>
      <c r="C976" s="32" t="s">
        <v>46</v>
      </c>
      <c r="D976" s="77">
        <v>21020104</v>
      </c>
      <c r="E976" s="135" t="s">
        <v>729</v>
      </c>
      <c r="F976" s="136">
        <v>9115851.7300000004</v>
      </c>
      <c r="G976" s="28">
        <v>9115851.7300000004</v>
      </c>
      <c r="H976" s="28"/>
      <c r="I976" s="28"/>
      <c r="J976" s="28">
        <v>9115851.7300000004</v>
      </c>
      <c r="K976" s="488"/>
      <c r="L976" s="467">
        <v>9115851.7300000004</v>
      </c>
      <c r="M976" s="28">
        <v>8494892.6899999995</v>
      </c>
      <c r="N976" s="28">
        <v>8520377.3699999992</v>
      </c>
    </row>
    <row r="977" spans="1:14" s="20" customFormat="1">
      <c r="A977" s="253"/>
      <c r="B977" s="231"/>
      <c r="C977" s="32" t="s">
        <v>46</v>
      </c>
      <c r="D977" s="77">
        <v>21020105</v>
      </c>
      <c r="E977" s="135" t="s">
        <v>730</v>
      </c>
      <c r="F977" s="136">
        <v>2136002.5</v>
      </c>
      <c r="G977" s="28">
        <v>2136002.5</v>
      </c>
      <c r="H977" s="28"/>
      <c r="I977" s="28"/>
      <c r="J977" s="28">
        <v>2136002.5</v>
      </c>
      <c r="K977" s="488"/>
      <c r="L977" s="467">
        <v>2136002.5</v>
      </c>
      <c r="M977" s="28">
        <v>2145867.9</v>
      </c>
      <c r="N977" s="28">
        <v>123192.44</v>
      </c>
    </row>
    <row r="978" spans="1:14" s="20" customFormat="1">
      <c r="A978" s="253"/>
      <c r="B978" s="231"/>
      <c r="C978" s="32" t="s">
        <v>46</v>
      </c>
      <c r="D978" s="77">
        <v>21020106</v>
      </c>
      <c r="E978" s="135" t="s">
        <v>731</v>
      </c>
      <c r="F978" s="136">
        <v>16939156.84</v>
      </c>
      <c r="G978" s="28">
        <v>16939156.84</v>
      </c>
      <c r="H978" s="28"/>
      <c r="I978" s="28"/>
      <c r="J978" s="28">
        <v>16939156.84</v>
      </c>
      <c r="K978" s="488"/>
      <c r="L978" s="467">
        <v>16939156.84</v>
      </c>
      <c r="M978" s="28">
        <v>205209962.44999999</v>
      </c>
      <c r="N978" s="28">
        <v>207647146.03999999</v>
      </c>
    </row>
    <row r="979" spans="1:14" s="20" customFormat="1">
      <c r="A979" s="253"/>
      <c r="B979" s="231"/>
      <c r="C979" s="32" t="s">
        <v>46</v>
      </c>
      <c r="D979" s="77">
        <v>21020107</v>
      </c>
      <c r="E979" s="135" t="s">
        <v>732</v>
      </c>
      <c r="F979" s="136">
        <v>8634819.8399999999</v>
      </c>
      <c r="G979" s="28">
        <v>8634819.8399999999</v>
      </c>
      <c r="H979" s="28"/>
      <c r="I979" s="28"/>
      <c r="J979" s="28">
        <v>8634819.8399999999</v>
      </c>
      <c r="K979" s="488"/>
      <c r="L979" s="467">
        <v>8634819.8399999999</v>
      </c>
      <c r="M979" s="28">
        <v>8634819.8399999999</v>
      </c>
      <c r="N979" s="28">
        <v>8634819.8399999999</v>
      </c>
    </row>
    <row r="980" spans="1:14" s="20" customFormat="1">
      <c r="A980" s="238"/>
      <c r="B980" s="231"/>
      <c r="C980" s="30" t="s">
        <v>1836</v>
      </c>
      <c r="D980" s="23"/>
      <c r="E980" s="25"/>
      <c r="F980" s="137">
        <f>SUM(F972:F979)</f>
        <v>272939989.39999998</v>
      </c>
      <c r="G980" s="114">
        <f>SUM(G972:G979)</f>
        <v>272939989.39999998</v>
      </c>
      <c r="H980" s="114">
        <f t="shared" ref="H980:I980" si="181">SUM(H972:H979)</f>
        <v>0</v>
      </c>
      <c r="I980" s="114">
        <f t="shared" si="181"/>
        <v>0</v>
      </c>
      <c r="J980" s="114">
        <f>SUM(J972:J979)</f>
        <v>272939989.39999998</v>
      </c>
      <c r="K980" s="490"/>
      <c r="L980" s="468">
        <f>SUM(L972:L979)</f>
        <v>272939989.39999998</v>
      </c>
      <c r="M980" s="114">
        <f>SUM(M972:M979)</f>
        <v>464966407.58999997</v>
      </c>
      <c r="N980" s="114">
        <f>SUM(N972:N979)</f>
        <v>466127842.98999995</v>
      </c>
    </row>
    <row r="981" spans="1:14" s="20" customFormat="1">
      <c r="A981" s="253"/>
      <c r="B981" s="231"/>
      <c r="C981" s="32" t="s">
        <v>47</v>
      </c>
      <c r="D981" s="77">
        <v>22020105</v>
      </c>
      <c r="E981" s="240" t="s">
        <v>1733</v>
      </c>
      <c r="F981" s="136">
        <v>4124000</v>
      </c>
      <c r="G981" s="28">
        <v>4124000</v>
      </c>
      <c r="H981" s="28"/>
      <c r="I981" s="28"/>
      <c r="J981" s="28">
        <v>4124000</v>
      </c>
      <c r="K981" s="488">
        <f>J981*4.38%</f>
        <v>180631.19999999998</v>
      </c>
      <c r="L981" s="469">
        <v>3943368.8000000003</v>
      </c>
      <c r="M981" s="28">
        <v>4321200</v>
      </c>
      <c r="N981" s="28">
        <v>4518400</v>
      </c>
    </row>
    <row r="982" spans="1:14" s="20" customFormat="1">
      <c r="A982" s="253"/>
      <c r="B982" s="231"/>
      <c r="C982" s="32" t="s">
        <v>47</v>
      </c>
      <c r="D982" s="77">
        <v>22020301</v>
      </c>
      <c r="E982" s="135" t="s">
        <v>737</v>
      </c>
      <c r="F982" s="136">
        <v>22305000</v>
      </c>
      <c r="G982" s="28">
        <v>22305000</v>
      </c>
      <c r="H982" s="28"/>
      <c r="I982" s="28"/>
      <c r="J982" s="28">
        <v>22305000</v>
      </c>
      <c r="K982" s="488">
        <f t="shared" ref="K982:K1004" si="182">J982*4.38%</f>
        <v>976959</v>
      </c>
      <c r="L982" s="469">
        <v>21328041</v>
      </c>
      <c r="M982" s="28">
        <v>26747200</v>
      </c>
      <c r="N982" s="28">
        <v>31186600</v>
      </c>
    </row>
    <row r="983" spans="1:14" s="20" customFormat="1">
      <c r="A983" s="253"/>
      <c r="B983" s="231"/>
      <c r="C983" s="32" t="s">
        <v>47</v>
      </c>
      <c r="D983" s="77">
        <v>22020306</v>
      </c>
      <c r="E983" s="240" t="s">
        <v>765</v>
      </c>
      <c r="F983" s="136">
        <v>1000000</v>
      </c>
      <c r="G983" s="28">
        <v>1000000</v>
      </c>
      <c r="H983" s="28"/>
      <c r="I983" s="28"/>
      <c r="J983" s="28">
        <v>1000000</v>
      </c>
      <c r="K983" s="488">
        <f t="shared" si="182"/>
        <v>43800</v>
      </c>
      <c r="L983" s="469">
        <v>956200</v>
      </c>
      <c r="M983" s="28">
        <v>1200000</v>
      </c>
      <c r="N983" s="28">
        <v>1400000</v>
      </c>
    </row>
    <row r="984" spans="1:14" s="20" customFormat="1">
      <c r="A984" s="253"/>
      <c r="B984" s="231"/>
      <c r="C984" s="32" t="s">
        <v>47</v>
      </c>
      <c r="D984" s="77">
        <v>22020309</v>
      </c>
      <c r="E984" s="240" t="s">
        <v>739</v>
      </c>
      <c r="F984" s="136">
        <v>1937500</v>
      </c>
      <c r="G984" s="28">
        <v>1937500</v>
      </c>
      <c r="H984" s="28"/>
      <c r="I984" s="28"/>
      <c r="J984" s="28">
        <v>1937500</v>
      </c>
      <c r="K984" s="488">
        <f t="shared" si="182"/>
        <v>84862.5</v>
      </c>
      <c r="L984" s="469">
        <v>1852637.5</v>
      </c>
      <c r="M984" s="28">
        <v>2184000</v>
      </c>
      <c r="N984" s="28">
        <v>2430500</v>
      </c>
    </row>
    <row r="985" spans="1:14" s="20" customFormat="1">
      <c r="A985" s="253"/>
      <c r="B985" s="231"/>
      <c r="C985" s="32" t="s">
        <v>47</v>
      </c>
      <c r="D985" s="77">
        <v>22020310</v>
      </c>
      <c r="E985" s="240" t="s">
        <v>819</v>
      </c>
      <c r="F985" s="136">
        <v>10958500</v>
      </c>
      <c r="G985" s="28">
        <v>10958500</v>
      </c>
      <c r="H985" s="28"/>
      <c r="I985" s="28"/>
      <c r="J985" s="28">
        <v>10958500</v>
      </c>
      <c r="K985" s="488">
        <f t="shared" si="182"/>
        <v>479982.3</v>
      </c>
      <c r="L985" s="469">
        <v>10478517.700000001</v>
      </c>
      <c r="M985" s="28">
        <v>13150200</v>
      </c>
      <c r="N985" s="28">
        <v>15341900</v>
      </c>
    </row>
    <row r="986" spans="1:14" s="20" customFormat="1">
      <c r="A986" s="253"/>
      <c r="B986" s="231"/>
      <c r="C986" s="32" t="s">
        <v>47</v>
      </c>
      <c r="D986" s="77">
        <v>22020312</v>
      </c>
      <c r="E986" s="240" t="s">
        <v>797</v>
      </c>
      <c r="F986" s="136">
        <v>4263000</v>
      </c>
      <c r="G986" s="28">
        <v>4263000</v>
      </c>
      <c r="H986" s="28"/>
      <c r="I986" s="28"/>
      <c r="J986" s="28">
        <v>4263000</v>
      </c>
      <c r="K986" s="488">
        <f t="shared" si="182"/>
        <v>186719.4</v>
      </c>
      <c r="L986" s="469">
        <v>4076280.6</v>
      </c>
      <c r="M986" s="28">
        <v>2577600</v>
      </c>
      <c r="N986" s="28">
        <v>3004700</v>
      </c>
    </row>
    <row r="987" spans="1:14" s="20" customFormat="1">
      <c r="A987" s="253"/>
      <c r="B987" s="231"/>
      <c r="C987" s="32" t="s">
        <v>47</v>
      </c>
      <c r="D987" s="77">
        <v>22020315</v>
      </c>
      <c r="E987" s="240" t="s">
        <v>740</v>
      </c>
      <c r="F987" s="136">
        <v>9500000</v>
      </c>
      <c r="G987" s="28">
        <v>9500000</v>
      </c>
      <c r="H987" s="28"/>
      <c r="I987" s="28"/>
      <c r="J987" s="28">
        <v>9500000</v>
      </c>
      <c r="K987" s="488">
        <f t="shared" si="182"/>
        <v>416100</v>
      </c>
      <c r="L987" s="469">
        <v>9083900</v>
      </c>
      <c r="M987" s="28">
        <v>10950000</v>
      </c>
      <c r="N987" s="28">
        <v>12400000</v>
      </c>
    </row>
    <row r="988" spans="1:14" s="20" customFormat="1">
      <c r="A988" s="253"/>
      <c r="B988" s="231"/>
      <c r="C988" s="32" t="s">
        <v>47</v>
      </c>
      <c r="D988" s="77">
        <v>22020401</v>
      </c>
      <c r="E988" s="135" t="s">
        <v>741</v>
      </c>
      <c r="F988" s="136">
        <v>3306000</v>
      </c>
      <c r="G988" s="28">
        <v>3306000</v>
      </c>
      <c r="H988" s="28"/>
      <c r="I988" s="28"/>
      <c r="J988" s="28">
        <v>3306000</v>
      </c>
      <c r="K988" s="488">
        <f t="shared" si="182"/>
        <v>144802.79999999999</v>
      </c>
      <c r="L988" s="469">
        <v>3161197.2</v>
      </c>
      <c r="M988" s="28">
        <v>3956200</v>
      </c>
      <c r="N988" s="28">
        <v>4606400</v>
      </c>
    </row>
    <row r="989" spans="1:14" s="20" customFormat="1">
      <c r="A989" s="253"/>
      <c r="B989" s="231"/>
      <c r="C989" s="32" t="s">
        <v>47</v>
      </c>
      <c r="D989" s="77">
        <v>22020402</v>
      </c>
      <c r="E989" s="240" t="s">
        <v>757</v>
      </c>
      <c r="F989" s="136">
        <v>2625000</v>
      </c>
      <c r="G989" s="28">
        <v>2625000</v>
      </c>
      <c r="H989" s="28"/>
      <c r="I989" s="28"/>
      <c r="J989" s="28">
        <v>2625000</v>
      </c>
      <c r="K989" s="488">
        <f t="shared" si="182"/>
        <v>114975</v>
      </c>
      <c r="L989" s="469">
        <v>2510025</v>
      </c>
      <c r="M989" s="28">
        <v>3150000</v>
      </c>
      <c r="N989" s="28">
        <v>3675000</v>
      </c>
    </row>
    <row r="990" spans="1:14" s="20" customFormat="1">
      <c r="A990" s="253"/>
      <c r="B990" s="231"/>
      <c r="C990" s="32" t="s">
        <v>47</v>
      </c>
      <c r="D990" s="77">
        <v>22020404</v>
      </c>
      <c r="E990" s="240" t="s">
        <v>742</v>
      </c>
      <c r="F990" s="136">
        <v>2490000</v>
      </c>
      <c r="G990" s="28">
        <v>2490000</v>
      </c>
      <c r="H990" s="28"/>
      <c r="I990" s="28"/>
      <c r="J990" s="28">
        <v>2490000</v>
      </c>
      <c r="K990" s="488">
        <f t="shared" si="182"/>
        <v>109062</v>
      </c>
      <c r="L990" s="469">
        <v>2380938</v>
      </c>
      <c r="M990" s="28">
        <v>2976000</v>
      </c>
      <c r="N990" s="28">
        <v>3462000</v>
      </c>
    </row>
    <row r="991" spans="1:14" s="20" customFormat="1">
      <c r="A991" s="253"/>
      <c r="B991" s="231"/>
      <c r="C991" s="32" t="s">
        <v>47</v>
      </c>
      <c r="D991" s="77">
        <v>22020405</v>
      </c>
      <c r="E991" s="240" t="s">
        <v>743</v>
      </c>
      <c r="F991" s="136">
        <v>2415000</v>
      </c>
      <c r="G991" s="28">
        <v>2415000</v>
      </c>
      <c r="H991" s="28"/>
      <c r="I991" s="28"/>
      <c r="J991" s="28">
        <v>2415000</v>
      </c>
      <c r="K991" s="488">
        <f t="shared" si="182"/>
        <v>105777</v>
      </c>
      <c r="L991" s="469">
        <v>2309223</v>
      </c>
      <c r="M991" s="28">
        <v>2826500</v>
      </c>
      <c r="N991" s="28">
        <v>3288000</v>
      </c>
    </row>
    <row r="992" spans="1:14" s="20" customFormat="1">
      <c r="A992" s="253"/>
      <c r="B992" s="231"/>
      <c r="C992" s="32" t="s">
        <v>47</v>
      </c>
      <c r="D992" s="77">
        <v>22020406</v>
      </c>
      <c r="E992" s="240" t="s">
        <v>758</v>
      </c>
      <c r="F992" s="136">
        <v>11100000</v>
      </c>
      <c r="G992" s="28">
        <v>11100000</v>
      </c>
      <c r="H992" s="28"/>
      <c r="I992" s="28"/>
      <c r="J992" s="28">
        <v>11100000</v>
      </c>
      <c r="K992" s="488">
        <f t="shared" si="182"/>
        <v>486180</v>
      </c>
      <c r="L992" s="469">
        <v>10613820</v>
      </c>
      <c r="M992" s="28">
        <v>11330000</v>
      </c>
      <c r="N992" s="28">
        <v>11560000</v>
      </c>
    </row>
    <row r="993" spans="1:14" s="20" customFormat="1">
      <c r="A993" s="253"/>
      <c r="B993" s="231"/>
      <c r="C993" s="32" t="s">
        <v>47</v>
      </c>
      <c r="D993" s="77">
        <v>22020416</v>
      </c>
      <c r="E993" s="240" t="s">
        <v>782</v>
      </c>
      <c r="F993" s="136">
        <v>399000</v>
      </c>
      <c r="G993" s="28">
        <v>399000</v>
      </c>
      <c r="H993" s="28"/>
      <c r="I993" s="28"/>
      <c r="J993" s="28">
        <v>399000</v>
      </c>
      <c r="K993" s="488">
        <f t="shared" si="182"/>
        <v>17476.2</v>
      </c>
      <c r="L993" s="469">
        <v>381523.80000000005</v>
      </c>
      <c r="M993" s="28">
        <v>473900</v>
      </c>
      <c r="N993" s="28">
        <v>548800</v>
      </c>
    </row>
    <row r="994" spans="1:14" s="20" customFormat="1">
      <c r="A994" s="253"/>
      <c r="B994" s="231"/>
      <c r="C994" s="32" t="s">
        <v>47</v>
      </c>
      <c r="D994" s="77">
        <v>22020605</v>
      </c>
      <c r="E994" s="240" t="s">
        <v>768</v>
      </c>
      <c r="F994" s="136">
        <v>1200000</v>
      </c>
      <c r="G994" s="28">
        <v>0</v>
      </c>
      <c r="H994" s="28"/>
      <c r="I994" s="28"/>
      <c r="J994" s="28">
        <v>0</v>
      </c>
      <c r="K994" s="488">
        <f t="shared" si="182"/>
        <v>0</v>
      </c>
      <c r="L994" s="469">
        <v>0</v>
      </c>
      <c r="M994" s="28">
        <v>1260000</v>
      </c>
      <c r="N994" s="28">
        <v>1320000</v>
      </c>
    </row>
    <row r="995" spans="1:14" s="20" customFormat="1">
      <c r="A995" s="253"/>
      <c r="B995" s="231"/>
      <c r="C995" s="32" t="s">
        <v>47</v>
      </c>
      <c r="D995" s="77">
        <v>22020704</v>
      </c>
      <c r="E995" s="240" t="s">
        <v>937</v>
      </c>
      <c r="F995" s="136">
        <v>1500500</v>
      </c>
      <c r="G995" s="28">
        <v>1500500</v>
      </c>
      <c r="H995" s="28"/>
      <c r="I995" s="28"/>
      <c r="J995" s="28">
        <v>1500500</v>
      </c>
      <c r="K995" s="488">
        <f t="shared" si="182"/>
        <v>65721.899999999994</v>
      </c>
      <c r="L995" s="469">
        <v>1434778.1</v>
      </c>
      <c r="M995" s="28">
        <v>1800600</v>
      </c>
      <c r="N995" s="28">
        <v>2100700</v>
      </c>
    </row>
    <row r="996" spans="1:14" s="20" customFormat="1">
      <c r="A996" s="253"/>
      <c r="B996" s="231"/>
      <c r="C996" s="32" t="s">
        <v>47</v>
      </c>
      <c r="D996" s="77">
        <v>22020705</v>
      </c>
      <c r="E996" s="240" t="s">
        <v>938</v>
      </c>
      <c r="F996" s="136">
        <v>1502500</v>
      </c>
      <c r="G996" s="28">
        <v>1502500</v>
      </c>
      <c r="H996" s="28"/>
      <c r="I996" s="28"/>
      <c r="J996" s="28">
        <v>1502500</v>
      </c>
      <c r="K996" s="488">
        <f t="shared" si="182"/>
        <v>65809.5</v>
      </c>
      <c r="L996" s="469">
        <v>1436690.5</v>
      </c>
      <c r="M996" s="28">
        <v>1803000</v>
      </c>
      <c r="N996" s="28">
        <v>2103500</v>
      </c>
    </row>
    <row r="997" spans="1:14" s="20" customFormat="1">
      <c r="A997" s="253"/>
      <c r="B997" s="231"/>
      <c r="C997" s="32" t="s">
        <v>47</v>
      </c>
      <c r="D997" s="77">
        <v>22020706</v>
      </c>
      <c r="E997" s="240" t="s">
        <v>901</v>
      </c>
      <c r="F997" s="136">
        <v>1502500</v>
      </c>
      <c r="G997" s="28">
        <v>1502500</v>
      </c>
      <c r="H997" s="28"/>
      <c r="I997" s="28"/>
      <c r="J997" s="28">
        <v>1502500</v>
      </c>
      <c r="K997" s="488">
        <f t="shared" si="182"/>
        <v>65809.5</v>
      </c>
      <c r="L997" s="469">
        <v>1436690.5</v>
      </c>
      <c r="M997" s="28">
        <v>1803000</v>
      </c>
      <c r="N997" s="28">
        <v>2103500</v>
      </c>
    </row>
    <row r="998" spans="1:14" s="20" customFormat="1">
      <c r="A998" s="253"/>
      <c r="B998" s="231"/>
      <c r="C998" s="32" t="s">
        <v>47</v>
      </c>
      <c r="D998" s="77">
        <v>22020801</v>
      </c>
      <c r="E998" s="240" t="s">
        <v>747</v>
      </c>
      <c r="F998" s="136">
        <v>1695000</v>
      </c>
      <c r="G998" s="28">
        <v>1695000</v>
      </c>
      <c r="H998" s="28"/>
      <c r="I998" s="28"/>
      <c r="J998" s="28">
        <v>1695000</v>
      </c>
      <c r="K998" s="488">
        <f t="shared" si="182"/>
        <v>74241</v>
      </c>
      <c r="L998" s="469">
        <v>1620759</v>
      </c>
      <c r="M998" s="28">
        <v>2034000</v>
      </c>
      <c r="N998" s="28">
        <v>2373000</v>
      </c>
    </row>
    <row r="999" spans="1:14" s="20" customFormat="1">
      <c r="A999" s="253"/>
      <c r="B999" s="231"/>
      <c r="C999" s="32" t="s">
        <v>47</v>
      </c>
      <c r="D999" s="77">
        <v>22020803</v>
      </c>
      <c r="E999" s="240" t="s">
        <v>748</v>
      </c>
      <c r="F999" s="136">
        <v>2640000</v>
      </c>
      <c r="G999" s="28">
        <v>2640000</v>
      </c>
      <c r="H999" s="28"/>
      <c r="I999" s="28"/>
      <c r="J999" s="28">
        <v>2640000</v>
      </c>
      <c r="K999" s="488">
        <f t="shared" si="182"/>
        <v>115632</v>
      </c>
      <c r="L999" s="469">
        <v>2524368</v>
      </c>
      <c r="M999" s="28">
        <v>3168000</v>
      </c>
      <c r="N999" s="28">
        <v>3696000</v>
      </c>
    </row>
    <row r="1000" spans="1:14" s="20" customFormat="1">
      <c r="A1000" s="253"/>
      <c r="B1000" s="231"/>
      <c r="C1000" s="32" t="s">
        <v>47</v>
      </c>
      <c r="D1000" s="77">
        <v>22020901</v>
      </c>
      <c r="E1000" s="240" t="s">
        <v>749</v>
      </c>
      <c r="F1000" s="136">
        <v>68500</v>
      </c>
      <c r="G1000" s="28">
        <v>68500</v>
      </c>
      <c r="H1000" s="28"/>
      <c r="I1000" s="28"/>
      <c r="J1000" s="28">
        <v>68500</v>
      </c>
      <c r="K1000" s="488">
        <f t="shared" si="182"/>
        <v>3000.2999999999997</v>
      </c>
      <c r="L1000" s="469">
        <v>65499.700000000004</v>
      </c>
      <c r="M1000" s="28">
        <v>70100</v>
      </c>
      <c r="N1000" s="28">
        <v>71700</v>
      </c>
    </row>
    <row r="1001" spans="1:14" s="20" customFormat="1">
      <c r="A1001" s="253"/>
      <c r="B1001" s="231"/>
      <c r="C1001" s="32" t="s">
        <v>47</v>
      </c>
      <c r="D1001" s="77">
        <v>22021001</v>
      </c>
      <c r="E1001" s="240" t="s">
        <v>772</v>
      </c>
      <c r="F1001" s="136">
        <v>70500</v>
      </c>
      <c r="G1001" s="28">
        <v>70500</v>
      </c>
      <c r="H1001" s="28"/>
      <c r="I1001" s="28"/>
      <c r="J1001" s="28">
        <v>70500</v>
      </c>
      <c r="K1001" s="488">
        <f t="shared" si="182"/>
        <v>3087.9</v>
      </c>
      <c r="L1001" s="469">
        <v>67412.100000000006</v>
      </c>
      <c r="M1001" s="28">
        <v>77600</v>
      </c>
      <c r="N1001" s="28">
        <v>82700</v>
      </c>
    </row>
    <row r="1002" spans="1:14" s="20" customFormat="1">
      <c r="A1002" s="253"/>
      <c r="B1002" s="231"/>
      <c r="C1002" s="32" t="s">
        <v>47</v>
      </c>
      <c r="D1002" s="77">
        <v>22021003</v>
      </c>
      <c r="E1002" s="240" t="s">
        <v>760</v>
      </c>
      <c r="F1002" s="136">
        <v>2517000</v>
      </c>
      <c r="G1002" s="28">
        <v>2517000</v>
      </c>
      <c r="H1002" s="28"/>
      <c r="I1002" s="28"/>
      <c r="J1002" s="28">
        <v>2517000</v>
      </c>
      <c r="K1002" s="488">
        <f t="shared" si="182"/>
        <v>110244.59999999999</v>
      </c>
      <c r="L1002" s="469">
        <v>2406755.4</v>
      </c>
      <c r="M1002" s="28">
        <v>2638800</v>
      </c>
      <c r="N1002" s="28">
        <v>2760600</v>
      </c>
    </row>
    <row r="1003" spans="1:14" s="20" customFormat="1">
      <c r="A1003" s="253"/>
      <c r="B1003" s="231"/>
      <c r="C1003" s="32" t="s">
        <v>47</v>
      </c>
      <c r="D1003" s="77">
        <v>22021014</v>
      </c>
      <c r="E1003" s="135" t="s">
        <v>800</v>
      </c>
      <c r="F1003" s="136">
        <v>81000</v>
      </c>
      <c r="G1003" s="28">
        <v>81000</v>
      </c>
      <c r="H1003" s="28"/>
      <c r="I1003" s="28"/>
      <c r="J1003" s="28">
        <v>81000</v>
      </c>
      <c r="K1003" s="488">
        <f t="shared" si="182"/>
        <v>3547.7999999999997</v>
      </c>
      <c r="L1003" s="469">
        <v>77452.2</v>
      </c>
      <c r="M1003" s="28">
        <v>97200</v>
      </c>
      <c r="N1003" s="28">
        <v>113400</v>
      </c>
    </row>
    <row r="1004" spans="1:14" s="20" customFormat="1">
      <c r="A1004" s="253"/>
      <c r="B1004" s="231"/>
      <c r="C1004" s="32" t="s">
        <v>47</v>
      </c>
      <c r="D1004" s="77">
        <v>22021037</v>
      </c>
      <c r="E1004" s="240" t="s">
        <v>939</v>
      </c>
      <c r="F1004" s="136">
        <v>150875000</v>
      </c>
      <c r="G1004" s="28">
        <v>80875000</v>
      </c>
      <c r="H1004" s="28"/>
      <c r="I1004" s="28"/>
      <c r="J1004" s="28">
        <v>80875000</v>
      </c>
      <c r="K1004" s="488">
        <f t="shared" si="182"/>
        <v>3542325</v>
      </c>
      <c r="L1004" s="469">
        <v>77332675</v>
      </c>
      <c r="M1004" s="28">
        <v>169118000</v>
      </c>
      <c r="N1004" s="28">
        <v>141875000</v>
      </c>
    </row>
    <row r="1005" spans="1:14" s="20" customFormat="1">
      <c r="A1005" s="238"/>
      <c r="B1005" s="231"/>
      <c r="C1005" s="30" t="s">
        <v>1837</v>
      </c>
      <c r="D1005" s="23"/>
      <c r="E1005" s="25"/>
      <c r="F1005" s="137">
        <f>SUM(F981:F1004)</f>
        <v>240075500</v>
      </c>
      <c r="G1005" s="114">
        <f>SUM(G981:G1004)</f>
        <v>168875500</v>
      </c>
      <c r="H1005" s="114">
        <f t="shared" ref="H1005:I1005" si="183">SUM(H981:H1004)</f>
        <v>0</v>
      </c>
      <c r="I1005" s="114">
        <f t="shared" si="183"/>
        <v>0</v>
      </c>
      <c r="J1005" s="114">
        <f>SUM(J981:J1004)</f>
        <v>168875500</v>
      </c>
      <c r="K1005" s="490">
        <f>SUM(K981:K1004)</f>
        <v>7396746.8999999994</v>
      </c>
      <c r="L1005" s="468">
        <f>SUM(L981:L1004)</f>
        <v>161478753.10000002</v>
      </c>
      <c r="M1005" s="114">
        <f>SUM(M981:M1004)</f>
        <v>269713100</v>
      </c>
      <c r="N1005" s="114">
        <f>SUM(N981:N1004)</f>
        <v>256022400</v>
      </c>
    </row>
    <row r="1006" spans="1:14" s="66" customFormat="1" ht="30">
      <c r="A1006" s="238" t="s">
        <v>935</v>
      </c>
      <c r="B1006" s="231" t="s">
        <v>1877</v>
      </c>
      <c r="C1006" s="30"/>
      <c r="D1006" s="23"/>
      <c r="E1006" s="25"/>
      <c r="F1006" s="137">
        <f>F1005+F980</f>
        <v>513015489.39999998</v>
      </c>
      <c r="G1006" s="114">
        <f>G1005+G980</f>
        <v>441815489.39999998</v>
      </c>
      <c r="H1006" s="114">
        <f t="shared" ref="H1006:I1006" si="184">H1005+H980</f>
        <v>0</v>
      </c>
      <c r="I1006" s="114">
        <f t="shared" si="184"/>
        <v>0</v>
      </c>
      <c r="J1006" s="114">
        <f>J1005+J980</f>
        <v>441815489.39999998</v>
      </c>
      <c r="K1006" s="490"/>
      <c r="L1006" s="468">
        <f>L1005+L980</f>
        <v>434418742.5</v>
      </c>
      <c r="M1006" s="114">
        <f>M1005+M980</f>
        <v>734679507.58999991</v>
      </c>
      <c r="N1006" s="114">
        <f>N1005+N980</f>
        <v>722150242.99000001</v>
      </c>
    </row>
    <row r="1007" spans="1:14" s="20" customFormat="1" ht="21">
      <c r="A1007" s="252"/>
      <c r="B1007" s="443"/>
      <c r="C1007" s="228"/>
      <c r="D1007" s="229"/>
      <c r="E1007" s="230"/>
      <c r="F1007" s="215"/>
      <c r="G1007" s="296"/>
      <c r="H1007" s="296"/>
      <c r="I1007" s="296"/>
      <c r="J1007" s="28"/>
      <c r="K1007" s="488"/>
      <c r="L1007" s="468"/>
      <c r="M1007" s="296"/>
      <c r="N1007" s="296"/>
    </row>
    <row r="1008" spans="1:14" s="20" customFormat="1">
      <c r="A1008" s="238" t="s">
        <v>940</v>
      </c>
      <c r="B1008" s="231" t="s">
        <v>941</v>
      </c>
      <c r="C1008" s="32" t="s">
        <v>46</v>
      </c>
      <c r="D1008" s="77">
        <v>21010101</v>
      </c>
      <c r="E1008" s="135" t="s">
        <v>725</v>
      </c>
      <c r="F1008" s="136">
        <v>27678486.719999999</v>
      </c>
      <c r="G1008" s="28">
        <v>27678486.719999999</v>
      </c>
      <c r="H1008" s="28"/>
      <c r="I1008" s="28"/>
      <c r="J1008" s="28">
        <v>27678486.719999999</v>
      </c>
      <c r="K1008" s="488"/>
      <c r="L1008" s="467">
        <v>27678486.719999999</v>
      </c>
      <c r="M1008" s="28">
        <f t="shared" ref="M1008:M1015" si="185">G1008*10%+G1008</f>
        <v>30446335.391999997</v>
      </c>
      <c r="N1008" s="28">
        <f>M1008*10%+M1008</f>
        <v>33490968.931199998</v>
      </c>
    </row>
    <row r="1009" spans="1:14" s="20" customFormat="1">
      <c r="A1009" s="253"/>
      <c r="B1009" s="231"/>
      <c r="C1009" s="32" t="s">
        <v>46</v>
      </c>
      <c r="D1009" s="77">
        <v>21020101</v>
      </c>
      <c r="E1009" s="135" t="s">
        <v>726</v>
      </c>
      <c r="F1009" s="136">
        <v>6919622.2800000003</v>
      </c>
      <c r="G1009" s="28">
        <v>6919622.2800000003</v>
      </c>
      <c r="H1009" s="28"/>
      <c r="I1009" s="28"/>
      <c r="J1009" s="28">
        <v>6919622.2800000003</v>
      </c>
      <c r="K1009" s="488"/>
      <c r="L1009" s="467">
        <v>6919622.2800000003</v>
      </c>
      <c r="M1009" s="28">
        <f t="shared" si="185"/>
        <v>7611584.5080000004</v>
      </c>
      <c r="N1009" s="28">
        <f t="shared" ref="N1009:N1015" si="186">M1009*10%+M1009</f>
        <v>8372742.9588000001</v>
      </c>
    </row>
    <row r="1010" spans="1:14" s="20" customFormat="1">
      <c r="A1010" s="253"/>
      <c r="B1010" s="231"/>
      <c r="C1010" s="32" t="s">
        <v>46</v>
      </c>
      <c r="D1010" s="77">
        <v>21020102</v>
      </c>
      <c r="E1010" s="135" t="s">
        <v>727</v>
      </c>
      <c r="F1010" s="136">
        <v>2767846.8</v>
      </c>
      <c r="G1010" s="28">
        <v>2767846.8</v>
      </c>
      <c r="H1010" s="28"/>
      <c r="I1010" s="28"/>
      <c r="J1010" s="28">
        <v>2767846.8</v>
      </c>
      <c r="K1010" s="488"/>
      <c r="L1010" s="467">
        <v>2767846.8</v>
      </c>
      <c r="M1010" s="28">
        <f t="shared" si="185"/>
        <v>3044631.48</v>
      </c>
      <c r="N1010" s="28">
        <f t="shared" si="186"/>
        <v>3349094.628</v>
      </c>
    </row>
    <row r="1011" spans="1:14" s="20" customFormat="1">
      <c r="A1011" s="253"/>
      <c r="B1011" s="231"/>
      <c r="C1011" s="32" t="s">
        <v>46</v>
      </c>
      <c r="D1011" s="77">
        <v>21020103</v>
      </c>
      <c r="E1011" s="135" t="s">
        <v>728</v>
      </c>
      <c r="F1011" s="136">
        <v>1383924.48</v>
      </c>
      <c r="G1011" s="28">
        <v>1383924.48</v>
      </c>
      <c r="H1011" s="28"/>
      <c r="I1011" s="28"/>
      <c r="J1011" s="28">
        <v>1383924.48</v>
      </c>
      <c r="K1011" s="488"/>
      <c r="L1011" s="467">
        <v>1383924.48</v>
      </c>
      <c r="M1011" s="28">
        <f t="shared" si="185"/>
        <v>1522316.9280000001</v>
      </c>
      <c r="N1011" s="28">
        <f t="shared" si="186"/>
        <v>1674548.6208000001</v>
      </c>
    </row>
    <row r="1012" spans="1:14" s="20" customFormat="1">
      <c r="A1012" s="253"/>
      <c r="B1012" s="231"/>
      <c r="C1012" s="32" t="s">
        <v>46</v>
      </c>
      <c r="D1012" s="77">
        <v>21020104</v>
      </c>
      <c r="E1012" s="135" t="s">
        <v>729</v>
      </c>
      <c r="F1012" s="136">
        <v>1383924.48</v>
      </c>
      <c r="G1012" s="28">
        <v>1383924.48</v>
      </c>
      <c r="H1012" s="28"/>
      <c r="I1012" s="28"/>
      <c r="J1012" s="28">
        <v>1383924.48</v>
      </c>
      <c r="K1012" s="488"/>
      <c r="L1012" s="467">
        <v>1383924.48</v>
      </c>
      <c r="M1012" s="28">
        <f t="shared" si="185"/>
        <v>1522316.9280000001</v>
      </c>
      <c r="N1012" s="28">
        <f t="shared" si="186"/>
        <v>1674548.6208000001</v>
      </c>
    </row>
    <row r="1013" spans="1:14" s="20" customFormat="1">
      <c r="A1013" s="253"/>
      <c r="B1013" s="231"/>
      <c r="C1013" s="32" t="s">
        <v>46</v>
      </c>
      <c r="D1013" s="77">
        <v>21020105</v>
      </c>
      <c r="E1013" s="135" t="s">
        <v>730</v>
      </c>
      <c r="F1013" s="136">
        <v>191745.24</v>
      </c>
      <c r="G1013" s="28">
        <v>191745.24</v>
      </c>
      <c r="H1013" s="28"/>
      <c r="I1013" s="28"/>
      <c r="J1013" s="28">
        <v>191745.24</v>
      </c>
      <c r="K1013" s="488"/>
      <c r="L1013" s="467">
        <v>191745.24</v>
      </c>
      <c r="M1013" s="28">
        <f t="shared" si="185"/>
        <v>210919.764</v>
      </c>
      <c r="N1013" s="28">
        <f t="shared" si="186"/>
        <v>232011.74040000001</v>
      </c>
    </row>
    <row r="1014" spans="1:14" s="20" customFormat="1">
      <c r="A1014" s="253"/>
      <c r="B1014" s="231"/>
      <c r="C1014" s="32" t="s">
        <v>46</v>
      </c>
      <c r="D1014" s="77">
        <v>21020106</v>
      </c>
      <c r="E1014" s="135" t="s">
        <v>731</v>
      </c>
      <c r="F1014" s="136">
        <v>2767848.67</v>
      </c>
      <c r="G1014" s="28">
        <v>2767848.67</v>
      </c>
      <c r="H1014" s="28"/>
      <c r="I1014" s="28"/>
      <c r="J1014" s="28">
        <v>2767848.67</v>
      </c>
      <c r="K1014" s="488"/>
      <c r="L1014" s="467">
        <v>2767848.67</v>
      </c>
      <c r="M1014" s="28">
        <f t="shared" si="185"/>
        <v>3044633.537</v>
      </c>
      <c r="N1014" s="28">
        <f t="shared" si="186"/>
        <v>3349096.8906999999</v>
      </c>
    </row>
    <row r="1015" spans="1:14" s="20" customFormat="1">
      <c r="A1015" s="253"/>
      <c r="B1015" s="231"/>
      <c r="C1015" s="32" t="s">
        <v>46</v>
      </c>
      <c r="D1015" s="77">
        <v>21020107</v>
      </c>
      <c r="E1015" s="135" t="s">
        <v>732</v>
      </c>
      <c r="F1015" s="136">
        <v>2160000</v>
      </c>
      <c r="G1015" s="28">
        <v>2160000</v>
      </c>
      <c r="H1015" s="28"/>
      <c r="I1015" s="28"/>
      <c r="J1015" s="28">
        <v>2160000</v>
      </c>
      <c r="K1015" s="488"/>
      <c r="L1015" s="467">
        <v>2160000</v>
      </c>
      <c r="M1015" s="28">
        <f t="shared" si="185"/>
        <v>2376000</v>
      </c>
      <c r="N1015" s="28">
        <f t="shared" si="186"/>
        <v>2613600</v>
      </c>
    </row>
    <row r="1016" spans="1:14" s="20" customFormat="1">
      <c r="A1016" s="238"/>
      <c r="B1016" s="231"/>
      <c r="C1016" s="30" t="s">
        <v>1836</v>
      </c>
      <c r="D1016" s="23"/>
      <c r="E1016" s="25"/>
      <c r="F1016" s="137">
        <f>SUM(F1008:F1015)</f>
        <v>45253398.669999994</v>
      </c>
      <c r="G1016" s="114">
        <f>SUM(G1008:G1015)</f>
        <v>45253398.669999994</v>
      </c>
      <c r="H1016" s="114">
        <f t="shared" ref="H1016:I1016" si="187">SUM(H1008:H1015)</f>
        <v>0</v>
      </c>
      <c r="I1016" s="114">
        <f t="shared" si="187"/>
        <v>0</v>
      </c>
      <c r="J1016" s="114">
        <f>SUM(J1008:J1015)</f>
        <v>45253398.669999994</v>
      </c>
      <c r="K1016" s="490"/>
      <c r="L1016" s="468">
        <f>SUM(L1008:L1015)</f>
        <v>45253398.669999994</v>
      </c>
      <c r="M1016" s="114">
        <f>SUM(M1008:M1015)</f>
        <v>49778738.537</v>
      </c>
      <c r="N1016" s="114">
        <f>SUM(N1008:N1015)</f>
        <v>54756612.390700005</v>
      </c>
    </row>
    <row r="1017" spans="1:14" s="20" customFormat="1">
      <c r="A1017" s="253"/>
      <c r="B1017" s="231"/>
      <c r="C1017" s="32" t="s">
        <v>47</v>
      </c>
      <c r="D1017" s="77">
        <v>22020108</v>
      </c>
      <c r="E1017" s="135" t="s">
        <v>812</v>
      </c>
      <c r="F1017" s="136">
        <v>595000</v>
      </c>
      <c r="G1017" s="28">
        <v>595000</v>
      </c>
      <c r="H1017" s="28"/>
      <c r="I1017" s="28"/>
      <c r="J1017" s="28">
        <v>595000</v>
      </c>
      <c r="K1017" s="488">
        <f>J1017*4.38%</f>
        <v>26061</v>
      </c>
      <c r="L1017" s="469">
        <v>568939</v>
      </c>
      <c r="M1017" s="28">
        <v>595000</v>
      </c>
      <c r="N1017" s="28">
        <v>595000</v>
      </c>
    </row>
    <row r="1018" spans="1:14" s="20" customFormat="1">
      <c r="A1018" s="253"/>
      <c r="B1018" s="231"/>
      <c r="C1018" s="32" t="s">
        <v>47</v>
      </c>
      <c r="D1018" s="77">
        <v>22020301</v>
      </c>
      <c r="E1018" s="135" t="s">
        <v>737</v>
      </c>
      <c r="F1018" s="136">
        <v>1326800</v>
      </c>
      <c r="G1018" s="28">
        <v>1326800</v>
      </c>
      <c r="H1018" s="28"/>
      <c r="I1018" s="28"/>
      <c r="J1018" s="28">
        <v>1326800</v>
      </c>
      <c r="K1018" s="488">
        <f t="shared" ref="K1018:K1031" si="188">J1018*4.38%</f>
        <v>58113.84</v>
      </c>
      <c r="L1018" s="469">
        <v>1268686.1600000001</v>
      </c>
      <c r="M1018" s="28">
        <v>1326800</v>
      </c>
      <c r="N1018" s="28">
        <v>1326800</v>
      </c>
    </row>
    <row r="1019" spans="1:14" s="20" customFormat="1">
      <c r="A1019" s="253"/>
      <c r="B1019" s="231"/>
      <c r="C1019" s="32" t="s">
        <v>47</v>
      </c>
      <c r="D1019" s="77">
        <v>22020305</v>
      </c>
      <c r="E1019" s="135" t="s">
        <v>755</v>
      </c>
      <c r="F1019" s="136">
        <v>70000</v>
      </c>
      <c r="G1019" s="28">
        <v>70000</v>
      </c>
      <c r="H1019" s="28"/>
      <c r="I1019" s="28"/>
      <c r="J1019" s="28">
        <v>70000</v>
      </c>
      <c r="K1019" s="488">
        <f t="shared" si="188"/>
        <v>3066</v>
      </c>
      <c r="L1019" s="469">
        <v>66934</v>
      </c>
      <c r="M1019" s="28">
        <v>70000</v>
      </c>
      <c r="N1019" s="28">
        <v>70000</v>
      </c>
    </row>
    <row r="1020" spans="1:14" s="20" customFormat="1">
      <c r="A1020" s="253"/>
      <c r="B1020" s="231"/>
      <c r="C1020" s="32" t="s">
        <v>47</v>
      </c>
      <c r="D1020" s="77">
        <v>22020402</v>
      </c>
      <c r="E1020" s="135" t="s">
        <v>757</v>
      </c>
      <c r="F1020" s="136">
        <v>96000</v>
      </c>
      <c r="G1020" s="28">
        <v>96000</v>
      </c>
      <c r="H1020" s="28"/>
      <c r="I1020" s="28"/>
      <c r="J1020" s="28">
        <v>96000</v>
      </c>
      <c r="K1020" s="488">
        <f t="shared" si="188"/>
        <v>4204.8</v>
      </c>
      <c r="L1020" s="469">
        <v>91795.200000000012</v>
      </c>
      <c r="M1020" s="28">
        <v>96000</v>
      </c>
      <c r="N1020" s="28">
        <v>96000</v>
      </c>
    </row>
    <row r="1021" spans="1:14" s="20" customFormat="1">
      <c r="A1021" s="253"/>
      <c r="B1021" s="231"/>
      <c r="C1021" s="32" t="s">
        <v>47</v>
      </c>
      <c r="D1021" s="77">
        <v>22020410</v>
      </c>
      <c r="E1021" s="135" t="s">
        <v>942</v>
      </c>
      <c r="F1021" s="136">
        <v>3000000</v>
      </c>
      <c r="G1021" s="28">
        <v>3000000</v>
      </c>
      <c r="H1021" s="28"/>
      <c r="I1021" s="28"/>
      <c r="J1021" s="28">
        <v>3000000</v>
      </c>
      <c r="K1021" s="488">
        <f t="shared" si="188"/>
        <v>131400</v>
      </c>
      <c r="L1021" s="469">
        <v>2868600</v>
      </c>
      <c r="M1021" s="28">
        <v>3826800</v>
      </c>
      <c r="N1021" s="28">
        <v>3826800</v>
      </c>
    </row>
    <row r="1022" spans="1:14" s="20" customFormat="1">
      <c r="A1022" s="253"/>
      <c r="B1022" s="231"/>
      <c r="C1022" s="32" t="s">
        <v>47</v>
      </c>
      <c r="D1022" s="77">
        <v>22020413</v>
      </c>
      <c r="E1022" s="135" t="s">
        <v>943</v>
      </c>
      <c r="F1022" s="136">
        <v>3000000</v>
      </c>
      <c r="G1022" s="28">
        <v>3000000</v>
      </c>
      <c r="H1022" s="28"/>
      <c r="I1022" s="28"/>
      <c r="J1022" s="28">
        <v>3000000</v>
      </c>
      <c r="K1022" s="488">
        <f t="shared" si="188"/>
        <v>131400</v>
      </c>
      <c r="L1022" s="469">
        <v>2868600</v>
      </c>
      <c r="M1022" s="28">
        <v>4022000</v>
      </c>
      <c r="N1022" s="28">
        <v>4022000</v>
      </c>
    </row>
    <row r="1023" spans="1:14" s="20" customFormat="1">
      <c r="A1023" s="253"/>
      <c r="B1023" s="231"/>
      <c r="C1023" s="32" t="s">
        <v>47</v>
      </c>
      <c r="D1023" s="77">
        <v>22020414</v>
      </c>
      <c r="E1023" s="135" t="s">
        <v>877</v>
      </c>
      <c r="F1023" s="136">
        <v>168000</v>
      </c>
      <c r="G1023" s="28">
        <v>168000</v>
      </c>
      <c r="H1023" s="28"/>
      <c r="I1023" s="28"/>
      <c r="J1023" s="28">
        <v>168000</v>
      </c>
      <c r="K1023" s="488">
        <f t="shared" si="188"/>
        <v>7358.4</v>
      </c>
      <c r="L1023" s="469">
        <v>160641.60000000001</v>
      </c>
      <c r="M1023" s="28">
        <v>168000</v>
      </c>
      <c r="N1023" s="28">
        <v>168000</v>
      </c>
    </row>
    <row r="1024" spans="1:14" s="20" customFormat="1">
      <c r="A1024" s="253"/>
      <c r="B1024" s="231"/>
      <c r="C1024" s="32" t="s">
        <v>47</v>
      </c>
      <c r="D1024" s="77">
        <v>22020709</v>
      </c>
      <c r="E1024" s="135" t="s">
        <v>771</v>
      </c>
      <c r="F1024" s="136">
        <v>450000</v>
      </c>
      <c r="G1024" s="28">
        <v>450000</v>
      </c>
      <c r="H1024" s="28"/>
      <c r="I1024" s="28"/>
      <c r="J1024" s="28">
        <v>450000</v>
      </c>
      <c r="K1024" s="488">
        <f t="shared" si="188"/>
        <v>19710</v>
      </c>
      <c r="L1024" s="469">
        <v>430290</v>
      </c>
      <c r="M1024" s="28">
        <v>450000</v>
      </c>
      <c r="N1024" s="28">
        <v>450000</v>
      </c>
    </row>
    <row r="1025" spans="1:14" s="20" customFormat="1">
      <c r="A1025" s="253"/>
      <c r="B1025" s="231"/>
      <c r="C1025" s="32" t="s">
        <v>47</v>
      </c>
      <c r="D1025" s="77">
        <v>22020801</v>
      </c>
      <c r="E1025" s="135" t="s">
        <v>747</v>
      </c>
      <c r="F1025" s="136">
        <v>1401600</v>
      </c>
      <c r="G1025" s="28">
        <v>1401600</v>
      </c>
      <c r="H1025" s="28"/>
      <c r="I1025" s="28"/>
      <c r="J1025" s="28">
        <v>1401600</v>
      </c>
      <c r="K1025" s="488">
        <f t="shared" si="188"/>
        <v>61390.080000000002</v>
      </c>
      <c r="L1025" s="469">
        <v>1340209.9200000002</v>
      </c>
      <c r="M1025" s="28">
        <v>1401600</v>
      </c>
      <c r="N1025" s="28">
        <v>1401600</v>
      </c>
    </row>
    <row r="1026" spans="1:14" s="20" customFormat="1">
      <c r="A1026" s="253"/>
      <c r="B1026" s="231"/>
      <c r="C1026" s="32" t="s">
        <v>47</v>
      </c>
      <c r="D1026" s="77">
        <v>22020803</v>
      </c>
      <c r="E1026" s="135" t="s">
        <v>748</v>
      </c>
      <c r="F1026" s="136">
        <v>1260000</v>
      </c>
      <c r="G1026" s="28">
        <v>1260000</v>
      </c>
      <c r="H1026" s="28"/>
      <c r="I1026" s="28"/>
      <c r="J1026" s="28">
        <v>1260000</v>
      </c>
      <c r="K1026" s="488">
        <f t="shared" si="188"/>
        <v>55188</v>
      </c>
      <c r="L1026" s="469">
        <v>1204812</v>
      </c>
      <c r="M1026" s="28">
        <v>1260000</v>
      </c>
      <c r="N1026" s="28">
        <v>1260000</v>
      </c>
    </row>
    <row r="1027" spans="1:14" s="20" customFormat="1">
      <c r="A1027" s="253"/>
      <c r="B1027" s="231"/>
      <c r="C1027" s="32" t="s">
        <v>47</v>
      </c>
      <c r="D1027" s="77">
        <v>22020901</v>
      </c>
      <c r="E1027" s="135" t="s">
        <v>749</v>
      </c>
      <c r="F1027" s="136">
        <v>19800</v>
      </c>
      <c r="G1027" s="28">
        <v>19800</v>
      </c>
      <c r="H1027" s="28"/>
      <c r="I1027" s="28"/>
      <c r="J1027" s="28">
        <v>19800</v>
      </c>
      <c r="K1027" s="488">
        <f t="shared" si="188"/>
        <v>867.24</v>
      </c>
      <c r="L1027" s="469">
        <v>18932.760000000002</v>
      </c>
      <c r="M1027" s="28">
        <v>19800</v>
      </c>
      <c r="N1027" s="28">
        <v>19800</v>
      </c>
    </row>
    <row r="1028" spans="1:14" s="20" customFormat="1">
      <c r="A1028" s="253"/>
      <c r="B1028" s="231"/>
      <c r="C1028" s="32" t="s">
        <v>47</v>
      </c>
      <c r="D1028" s="77">
        <v>22021001</v>
      </c>
      <c r="E1028" s="135" t="s">
        <v>772</v>
      </c>
      <c r="F1028" s="136">
        <v>160000</v>
      </c>
      <c r="G1028" s="28">
        <v>160000</v>
      </c>
      <c r="H1028" s="28"/>
      <c r="I1028" s="28"/>
      <c r="J1028" s="28">
        <v>160000</v>
      </c>
      <c r="K1028" s="488">
        <f t="shared" si="188"/>
        <v>7008</v>
      </c>
      <c r="L1028" s="469">
        <v>152992</v>
      </c>
      <c r="M1028" s="28">
        <v>160000</v>
      </c>
      <c r="N1028" s="28">
        <v>160000</v>
      </c>
    </row>
    <row r="1029" spans="1:14" s="20" customFormat="1">
      <c r="A1029" s="253"/>
      <c r="B1029" s="231"/>
      <c r="C1029" s="32" t="s">
        <v>47</v>
      </c>
      <c r="D1029" s="77">
        <v>22021003</v>
      </c>
      <c r="E1029" s="135" t="s">
        <v>760</v>
      </c>
      <c r="F1029" s="136">
        <v>170000</v>
      </c>
      <c r="G1029" s="28">
        <v>170000</v>
      </c>
      <c r="H1029" s="28"/>
      <c r="I1029" s="28"/>
      <c r="J1029" s="28">
        <v>170000</v>
      </c>
      <c r="K1029" s="488">
        <f t="shared" si="188"/>
        <v>7446</v>
      </c>
      <c r="L1029" s="469">
        <v>162554</v>
      </c>
      <c r="M1029" s="28">
        <v>170000</v>
      </c>
      <c r="N1029" s="28">
        <v>170000</v>
      </c>
    </row>
    <row r="1030" spans="1:14" s="20" customFormat="1">
      <c r="A1030" s="253"/>
      <c r="B1030" s="231"/>
      <c r="C1030" s="32" t="s">
        <v>47</v>
      </c>
      <c r="D1030" s="77">
        <v>22021014</v>
      </c>
      <c r="E1030" s="135" t="s">
        <v>800</v>
      </c>
      <c r="F1030" s="136">
        <v>20000</v>
      </c>
      <c r="G1030" s="28">
        <v>20000</v>
      </c>
      <c r="H1030" s="28"/>
      <c r="I1030" s="28"/>
      <c r="J1030" s="28">
        <v>20000</v>
      </c>
      <c r="K1030" s="488">
        <f t="shared" si="188"/>
        <v>876</v>
      </c>
      <c r="L1030" s="469">
        <v>19124</v>
      </c>
      <c r="M1030" s="28">
        <v>94600</v>
      </c>
      <c r="N1030" s="28">
        <v>94600</v>
      </c>
    </row>
    <row r="1031" spans="1:14" s="20" customFormat="1">
      <c r="A1031" s="238"/>
      <c r="B1031" s="231"/>
      <c r="C1031" s="30" t="s">
        <v>1839</v>
      </c>
      <c r="D1031" s="23"/>
      <c r="E1031" s="25"/>
      <c r="F1031" s="137">
        <f>SUM(F1017:F1030)</f>
        <v>11737200</v>
      </c>
      <c r="G1031" s="114">
        <f>SUM(G1017:G1030)</f>
        <v>11737200</v>
      </c>
      <c r="H1031" s="114">
        <f t="shared" ref="H1031:I1031" si="189">SUM(H1017:H1030)</f>
        <v>0</v>
      </c>
      <c r="I1031" s="114">
        <f t="shared" si="189"/>
        <v>0</v>
      </c>
      <c r="J1031" s="114">
        <f>SUM(J1017:J1030)</f>
        <v>11737200</v>
      </c>
      <c r="K1031" s="490">
        <f t="shared" si="188"/>
        <v>514089.36</v>
      </c>
      <c r="L1031" s="468">
        <f>SUM(L1017:L1030)</f>
        <v>11223110.640000001</v>
      </c>
      <c r="M1031" s="114">
        <f>SUM(M1017:M1030)</f>
        <v>13660600</v>
      </c>
      <c r="N1031" s="114">
        <f>SUM(N1017:N1030)</f>
        <v>13660600</v>
      </c>
    </row>
    <row r="1032" spans="1:14" s="66" customFormat="1" ht="30">
      <c r="A1032" s="238" t="s">
        <v>940</v>
      </c>
      <c r="B1032" s="231" t="s">
        <v>1878</v>
      </c>
      <c r="C1032" s="30"/>
      <c r="D1032" s="23"/>
      <c r="E1032" s="25"/>
      <c r="F1032" s="137"/>
      <c r="G1032" s="114">
        <f>G1031+G1016</f>
        <v>56990598.669999994</v>
      </c>
      <c r="H1032" s="114">
        <f t="shared" ref="H1032:I1032" si="190">H1031+H1016</f>
        <v>0</v>
      </c>
      <c r="I1032" s="114">
        <f t="shared" si="190"/>
        <v>0</v>
      </c>
      <c r="J1032" s="114">
        <f>J1031+J1016</f>
        <v>56990598.669999994</v>
      </c>
      <c r="K1032" s="490"/>
      <c r="L1032" s="468">
        <f>L1031+L1016</f>
        <v>56476509.309999995</v>
      </c>
      <c r="M1032" s="114">
        <f>M1031+M1016</f>
        <v>63439338.537</v>
      </c>
      <c r="N1032" s="114">
        <f>N1031+N1016</f>
        <v>68417212.390700012</v>
      </c>
    </row>
    <row r="1033" spans="1:14" s="20" customFormat="1" ht="21">
      <c r="A1033" s="252"/>
      <c r="B1033" s="443"/>
      <c r="C1033" s="228"/>
      <c r="D1033" s="229"/>
      <c r="E1033" s="230"/>
      <c r="F1033" s="215"/>
      <c r="G1033" s="296"/>
      <c r="H1033" s="296"/>
      <c r="I1033" s="296"/>
      <c r="J1033" s="28"/>
      <c r="K1033" s="488"/>
      <c r="L1033" s="468"/>
      <c r="M1033" s="296"/>
      <c r="N1033" s="296"/>
    </row>
    <row r="1034" spans="1:14" s="20" customFormat="1" ht="45">
      <c r="A1034" s="238" t="s">
        <v>945</v>
      </c>
      <c r="B1034" s="231" t="s">
        <v>944</v>
      </c>
      <c r="C1034" s="32" t="s">
        <v>46</v>
      </c>
      <c r="D1034" s="77">
        <v>21010101</v>
      </c>
      <c r="E1034" s="135" t="s">
        <v>725</v>
      </c>
      <c r="F1034" s="136">
        <v>884270832</v>
      </c>
      <c r="G1034" s="28">
        <v>884270832</v>
      </c>
      <c r="H1034" s="28"/>
      <c r="I1034" s="28"/>
      <c r="J1034" s="28">
        <v>884270832</v>
      </c>
      <c r="K1034" s="488"/>
      <c r="L1034" s="467">
        <v>884270832</v>
      </c>
      <c r="M1034" s="28">
        <f>G1034*10%+G1034</f>
        <v>972697915.20000005</v>
      </c>
      <c r="N1034" s="28">
        <f>M1034*10%+M1034</f>
        <v>1069967706.72</v>
      </c>
    </row>
    <row r="1035" spans="1:14" s="20" customFormat="1">
      <c r="A1035" s="238"/>
      <c r="B1035" s="231"/>
      <c r="C1035" s="30" t="s">
        <v>1842</v>
      </c>
      <c r="D1035" s="23"/>
      <c r="E1035" s="25"/>
      <c r="F1035" s="137">
        <f>SUM(F1034)</f>
        <v>884270832</v>
      </c>
      <c r="G1035" s="114">
        <f>SUM(G1034)</f>
        <v>884270832</v>
      </c>
      <c r="H1035" s="114">
        <f t="shared" ref="H1035:I1035" si="191">SUM(H1034)</f>
        <v>0</v>
      </c>
      <c r="I1035" s="114">
        <f t="shared" si="191"/>
        <v>0</v>
      </c>
      <c r="J1035" s="114">
        <f>SUM(J1034)</f>
        <v>884270832</v>
      </c>
      <c r="K1035" s="490"/>
      <c r="L1035" s="468">
        <f>SUM(L1034)</f>
        <v>884270832</v>
      </c>
      <c r="M1035" s="114">
        <f>SUM(M1034)</f>
        <v>972697915.20000005</v>
      </c>
      <c r="N1035" s="114">
        <f>SUM(N1034)</f>
        <v>1069967706.72</v>
      </c>
    </row>
    <row r="1036" spans="1:14" s="20" customFormat="1">
      <c r="A1036" s="253"/>
      <c r="B1036" s="231"/>
      <c r="C1036" s="32" t="s">
        <v>47</v>
      </c>
      <c r="D1036" s="77">
        <v>22020105</v>
      </c>
      <c r="E1036" s="135" t="s">
        <v>1713</v>
      </c>
      <c r="F1036" s="136">
        <v>48000000</v>
      </c>
      <c r="G1036" s="28">
        <v>8000000</v>
      </c>
      <c r="H1036" s="28"/>
      <c r="I1036" s="28"/>
      <c r="J1036" s="28">
        <v>8000000</v>
      </c>
      <c r="K1036" s="488">
        <f>J1036*4.38%</f>
        <v>350400</v>
      </c>
      <c r="L1036" s="469">
        <v>7649600</v>
      </c>
      <c r="M1036" s="28">
        <v>48000000</v>
      </c>
      <c r="N1036" s="28">
        <v>48000000</v>
      </c>
    </row>
    <row r="1037" spans="1:14" s="20" customFormat="1">
      <c r="A1037" s="253"/>
      <c r="B1037" s="231"/>
      <c r="C1037" s="32" t="s">
        <v>47</v>
      </c>
      <c r="D1037" s="77">
        <v>22020208</v>
      </c>
      <c r="E1037" s="135" t="s">
        <v>799</v>
      </c>
      <c r="F1037" s="136">
        <v>2349000</v>
      </c>
      <c r="G1037" s="28">
        <v>2349000</v>
      </c>
      <c r="H1037" s="28"/>
      <c r="I1037" s="28"/>
      <c r="J1037" s="28">
        <v>2349000</v>
      </c>
      <c r="K1037" s="488">
        <f t="shared" ref="K1037:K1047" si="192">J1037*4.38%</f>
        <v>102886.2</v>
      </c>
      <c r="L1037" s="469">
        <v>2246113.8000000003</v>
      </c>
      <c r="M1037" s="28">
        <f>G1037*10%+G1037</f>
        <v>2583900</v>
      </c>
      <c r="N1037" s="28">
        <f>M1037*10%+M1037</f>
        <v>2842290</v>
      </c>
    </row>
    <row r="1038" spans="1:14" s="20" customFormat="1">
      <c r="A1038" s="253"/>
      <c r="B1038" s="231"/>
      <c r="C1038" s="32" t="s">
        <v>47</v>
      </c>
      <c r="D1038" s="77">
        <v>22020301</v>
      </c>
      <c r="E1038" s="135" t="s">
        <v>737</v>
      </c>
      <c r="F1038" s="136">
        <v>21570000</v>
      </c>
      <c r="G1038" s="28">
        <v>2570000</v>
      </c>
      <c r="H1038" s="28">
        <v>5000000</v>
      </c>
      <c r="I1038" s="28"/>
      <c r="J1038" s="28">
        <v>7570000</v>
      </c>
      <c r="K1038" s="488">
        <f t="shared" si="192"/>
        <v>331566</v>
      </c>
      <c r="L1038" s="469">
        <v>7238434</v>
      </c>
      <c r="M1038" s="28">
        <v>19735000</v>
      </c>
      <c r="N1038" s="28">
        <v>19735000</v>
      </c>
    </row>
    <row r="1039" spans="1:14" s="20" customFormat="1">
      <c r="A1039" s="253"/>
      <c r="B1039" s="231"/>
      <c r="C1039" s="32" t="s">
        <v>47</v>
      </c>
      <c r="D1039" s="77">
        <v>22020305</v>
      </c>
      <c r="E1039" s="135" t="s">
        <v>755</v>
      </c>
      <c r="F1039" s="136">
        <v>3057500</v>
      </c>
      <c r="G1039" s="28">
        <v>3057500</v>
      </c>
      <c r="H1039" s="28"/>
      <c r="I1039" s="28"/>
      <c r="J1039" s="28">
        <v>3057500</v>
      </c>
      <c r="K1039" s="488">
        <f t="shared" si="192"/>
        <v>133918.5</v>
      </c>
      <c r="L1039" s="469">
        <v>2923581.5</v>
      </c>
      <c r="M1039" s="28">
        <v>2715000</v>
      </c>
      <c r="N1039" s="28">
        <v>2715000</v>
      </c>
    </row>
    <row r="1040" spans="1:14" s="20" customFormat="1">
      <c r="A1040" s="253"/>
      <c r="B1040" s="231"/>
      <c r="C1040" s="32" t="s">
        <v>47</v>
      </c>
      <c r="D1040" s="77">
        <v>22020308</v>
      </c>
      <c r="E1040" s="135" t="s">
        <v>756</v>
      </c>
      <c r="F1040" s="136">
        <v>27401200</v>
      </c>
      <c r="G1040" s="28">
        <v>5000000</v>
      </c>
      <c r="H1040" s="28"/>
      <c r="I1040" s="28"/>
      <c r="J1040" s="28">
        <v>5000000</v>
      </c>
      <c r="K1040" s="488">
        <f t="shared" si="192"/>
        <v>219000</v>
      </c>
      <c r="L1040" s="469">
        <v>4781000</v>
      </c>
      <c r="M1040" s="28">
        <v>27201200</v>
      </c>
      <c r="N1040" s="28">
        <v>27201200</v>
      </c>
    </row>
    <row r="1041" spans="1:14" s="20" customFormat="1">
      <c r="A1041" s="253"/>
      <c r="B1041" s="231"/>
      <c r="C1041" s="32" t="s">
        <v>47</v>
      </c>
      <c r="D1041" s="77">
        <v>22020315</v>
      </c>
      <c r="E1041" s="135" t="s">
        <v>740</v>
      </c>
      <c r="F1041" s="136">
        <v>396000</v>
      </c>
      <c r="G1041" s="28">
        <v>396000</v>
      </c>
      <c r="H1041" s="28"/>
      <c r="I1041" s="28"/>
      <c r="J1041" s="28">
        <v>396000</v>
      </c>
      <c r="K1041" s="488">
        <f t="shared" si="192"/>
        <v>17344.8</v>
      </c>
      <c r="L1041" s="469">
        <v>378655.2</v>
      </c>
      <c r="M1041" s="28">
        <f>G1041*10%+G1041</f>
        <v>435600</v>
      </c>
      <c r="N1041" s="28">
        <f>M1041*10%+M1041</f>
        <v>479160</v>
      </c>
    </row>
    <row r="1042" spans="1:14" s="20" customFormat="1">
      <c r="A1042" s="253"/>
      <c r="B1042" s="231"/>
      <c r="C1042" s="32" t="s">
        <v>47</v>
      </c>
      <c r="D1042" s="77">
        <v>22020401</v>
      </c>
      <c r="E1042" s="135" t="s">
        <v>741</v>
      </c>
      <c r="F1042" s="136">
        <v>3292000</v>
      </c>
      <c r="G1042" s="28">
        <v>3292000</v>
      </c>
      <c r="H1042" s="28"/>
      <c r="I1042" s="28"/>
      <c r="J1042" s="28">
        <v>3292000</v>
      </c>
      <c r="K1042" s="488">
        <f t="shared" si="192"/>
        <v>144189.6</v>
      </c>
      <c r="L1042" s="469">
        <v>3147810.4000000004</v>
      </c>
      <c r="M1042" s="28">
        <v>3292000</v>
      </c>
      <c r="N1042" s="28">
        <v>3292000</v>
      </c>
    </row>
    <row r="1043" spans="1:14" s="20" customFormat="1">
      <c r="A1043" s="253"/>
      <c r="B1043" s="231"/>
      <c r="C1043" s="32" t="s">
        <v>47</v>
      </c>
      <c r="D1043" s="77">
        <v>22020405</v>
      </c>
      <c r="E1043" s="135" t="s">
        <v>743</v>
      </c>
      <c r="F1043" s="136">
        <v>24000</v>
      </c>
      <c r="G1043" s="28">
        <v>24000</v>
      </c>
      <c r="H1043" s="28"/>
      <c r="I1043" s="28"/>
      <c r="J1043" s="28">
        <v>24000</v>
      </c>
      <c r="K1043" s="488">
        <f t="shared" si="192"/>
        <v>1051.2</v>
      </c>
      <c r="L1043" s="469">
        <v>22948.800000000003</v>
      </c>
      <c r="M1043" s="28">
        <f>G1043*10%+G1043</f>
        <v>26400</v>
      </c>
      <c r="N1043" s="28">
        <f>M1043*10%+M1043</f>
        <v>29040</v>
      </c>
    </row>
    <row r="1044" spans="1:14" s="20" customFormat="1">
      <c r="A1044" s="253"/>
      <c r="B1044" s="231"/>
      <c r="C1044" s="32" t="s">
        <v>47</v>
      </c>
      <c r="D1044" s="77">
        <v>22020801</v>
      </c>
      <c r="E1044" s="135" t="s">
        <v>747</v>
      </c>
      <c r="F1044" s="136">
        <v>116230000</v>
      </c>
      <c r="G1044" s="28">
        <v>50000000</v>
      </c>
      <c r="H1044" s="28">
        <v>50000000</v>
      </c>
      <c r="I1044" s="28"/>
      <c r="J1044" s="28">
        <v>100000000</v>
      </c>
      <c r="K1044" s="488">
        <f t="shared" si="192"/>
        <v>4380000</v>
      </c>
      <c r="L1044" s="469">
        <v>95620000</v>
      </c>
      <c r="M1044" s="28">
        <v>116208000</v>
      </c>
      <c r="N1044" s="28">
        <v>116208000</v>
      </c>
    </row>
    <row r="1045" spans="1:14" s="20" customFormat="1">
      <c r="A1045" s="253"/>
      <c r="B1045" s="231"/>
      <c r="C1045" s="32" t="s">
        <v>47</v>
      </c>
      <c r="D1045" s="77">
        <v>22020803</v>
      </c>
      <c r="E1045" s="135" t="s">
        <v>748</v>
      </c>
      <c r="F1045" s="136">
        <v>300000</v>
      </c>
      <c r="G1045" s="28">
        <v>300000</v>
      </c>
      <c r="H1045" s="28"/>
      <c r="I1045" s="28"/>
      <c r="J1045" s="28">
        <v>300000</v>
      </c>
      <c r="K1045" s="488">
        <f t="shared" si="192"/>
        <v>13140</v>
      </c>
      <c r="L1045" s="469">
        <v>286860</v>
      </c>
      <c r="M1045" s="28">
        <f>G1045*10%+G1045</f>
        <v>330000</v>
      </c>
      <c r="N1045" s="28">
        <f>M1045*10%+M1045</f>
        <v>363000</v>
      </c>
    </row>
    <row r="1046" spans="1:14" s="20" customFormat="1">
      <c r="A1046" s="253"/>
      <c r="B1046" s="231"/>
      <c r="C1046" s="32" t="s">
        <v>47</v>
      </c>
      <c r="D1046" s="77">
        <v>22021001</v>
      </c>
      <c r="E1046" s="135" t="s">
        <v>772</v>
      </c>
      <c r="F1046" s="136">
        <v>3405000</v>
      </c>
      <c r="G1046" s="28">
        <v>3405000</v>
      </c>
      <c r="H1046" s="28"/>
      <c r="I1046" s="28"/>
      <c r="J1046" s="28">
        <v>3405000</v>
      </c>
      <c r="K1046" s="488">
        <f t="shared" si="192"/>
        <v>149139</v>
      </c>
      <c r="L1046" s="469">
        <v>3255861</v>
      </c>
      <c r="M1046" s="28">
        <v>3300000</v>
      </c>
      <c r="N1046" s="28">
        <v>2575000</v>
      </c>
    </row>
    <row r="1047" spans="1:14" s="20" customFormat="1">
      <c r="A1047" s="253"/>
      <c r="B1047" s="231"/>
      <c r="C1047" s="32" t="s">
        <v>47</v>
      </c>
      <c r="D1047" s="77">
        <v>22021003</v>
      </c>
      <c r="E1047" s="135" t="s">
        <v>760</v>
      </c>
      <c r="F1047" s="136">
        <v>18504500</v>
      </c>
      <c r="G1047" s="28">
        <v>8504500</v>
      </c>
      <c r="H1047" s="28">
        <v>6495500</v>
      </c>
      <c r="I1047" s="28"/>
      <c r="J1047" s="28">
        <v>15000000</v>
      </c>
      <c r="K1047" s="488">
        <f t="shared" si="192"/>
        <v>657000</v>
      </c>
      <c r="L1047" s="469">
        <v>14343000</v>
      </c>
      <c r="M1047" s="28">
        <v>18000000</v>
      </c>
      <c r="N1047" s="28">
        <v>18000000</v>
      </c>
    </row>
    <row r="1048" spans="1:14" s="20" customFormat="1">
      <c r="A1048" s="238"/>
      <c r="B1048" s="231"/>
      <c r="C1048" s="30" t="s">
        <v>1837</v>
      </c>
      <c r="D1048" s="23"/>
      <c r="E1048" s="25"/>
      <c r="F1048" s="137">
        <f>SUM(F1036:F1047)</f>
        <v>244529200</v>
      </c>
      <c r="G1048" s="114">
        <f>SUM(G1036:G1047)</f>
        <v>86898000</v>
      </c>
      <c r="H1048" s="114">
        <f t="shared" ref="H1048:I1048" si="193">SUM(H1036:H1047)</f>
        <v>61495500</v>
      </c>
      <c r="I1048" s="114">
        <f t="shared" si="193"/>
        <v>0</v>
      </c>
      <c r="J1048" s="114">
        <f>SUM(J1036:J1047)</f>
        <v>148393500</v>
      </c>
      <c r="K1048" s="490">
        <f>SUM(K1036:K1047)</f>
        <v>6499635.2999999998</v>
      </c>
      <c r="L1048" s="468">
        <f>SUM(L1036:L1047)</f>
        <v>141893864.69999999</v>
      </c>
      <c r="M1048" s="114">
        <f>SUM(M1036:M1047)</f>
        <v>241827100</v>
      </c>
      <c r="N1048" s="114">
        <f>SUM(N1036:N1047)</f>
        <v>241439690</v>
      </c>
    </row>
    <row r="1049" spans="1:14" s="66" customFormat="1" ht="45">
      <c r="A1049" s="238" t="s">
        <v>945</v>
      </c>
      <c r="B1049" s="231" t="s">
        <v>1879</v>
      </c>
      <c r="C1049" s="30"/>
      <c r="D1049" s="23"/>
      <c r="E1049" s="25"/>
      <c r="F1049" s="137">
        <f>F1048+F1035</f>
        <v>1128800032</v>
      </c>
      <c r="G1049" s="114">
        <f>G1048+G1035</f>
        <v>971168832</v>
      </c>
      <c r="H1049" s="114">
        <f t="shared" ref="H1049:I1049" si="194">H1048+H1035</f>
        <v>61495500</v>
      </c>
      <c r="I1049" s="114">
        <f t="shared" si="194"/>
        <v>0</v>
      </c>
      <c r="J1049" s="114">
        <f>J1048+J1035</f>
        <v>1032664332</v>
      </c>
      <c r="K1049" s="490"/>
      <c r="L1049" s="468">
        <f>L1048+L1035</f>
        <v>1026164696.7</v>
      </c>
      <c r="M1049" s="114">
        <f>M1048+M1035</f>
        <v>1214525015.2</v>
      </c>
      <c r="N1049" s="114">
        <f>N1048+N1035</f>
        <v>1311407396.72</v>
      </c>
    </row>
    <row r="1050" spans="1:14" s="20" customFormat="1" ht="21">
      <c r="A1050" s="252"/>
      <c r="B1050" s="443"/>
      <c r="C1050" s="228"/>
      <c r="D1050" s="229"/>
      <c r="E1050" s="230"/>
      <c r="F1050" s="215"/>
      <c r="G1050" s="296"/>
      <c r="H1050" s="296"/>
      <c r="I1050" s="296"/>
      <c r="J1050" s="28"/>
      <c r="K1050" s="488"/>
      <c r="L1050" s="468"/>
      <c r="M1050" s="296"/>
      <c r="N1050" s="296"/>
    </row>
    <row r="1051" spans="1:14" s="20" customFormat="1" ht="30">
      <c r="A1051" s="238" t="s">
        <v>1790</v>
      </c>
      <c r="B1051" s="231" t="s">
        <v>2142</v>
      </c>
      <c r="C1051" s="32" t="s">
        <v>946</v>
      </c>
      <c r="D1051" s="77">
        <v>21010101</v>
      </c>
      <c r="E1051" s="135" t="s">
        <v>725</v>
      </c>
      <c r="F1051" s="136">
        <v>20885349.84</v>
      </c>
      <c r="G1051" s="28">
        <v>20885349.84</v>
      </c>
      <c r="H1051" s="28"/>
      <c r="I1051" s="28"/>
      <c r="J1051" s="28">
        <v>20885349.84</v>
      </c>
      <c r="K1051" s="488"/>
      <c r="L1051" s="467">
        <v>20885349.84</v>
      </c>
      <c r="M1051" s="28">
        <v>22973884.824000001</v>
      </c>
      <c r="N1051" s="28">
        <v>25271273.306400001</v>
      </c>
    </row>
    <row r="1052" spans="1:14" s="20" customFormat="1">
      <c r="A1052" s="253"/>
      <c r="B1052" s="231"/>
      <c r="C1052" s="32" t="s">
        <v>946</v>
      </c>
      <c r="D1052" s="77">
        <v>21020101</v>
      </c>
      <c r="E1052" s="135" t="s">
        <v>726</v>
      </c>
      <c r="F1052" s="136">
        <v>4909372.08</v>
      </c>
      <c r="G1052" s="28">
        <v>4909372.08</v>
      </c>
      <c r="H1052" s="28"/>
      <c r="I1052" s="28"/>
      <c r="J1052" s="28">
        <v>4909372.08</v>
      </c>
      <c r="K1052" s="488"/>
      <c r="L1052" s="467">
        <v>4909372.08</v>
      </c>
      <c r="M1052" s="28">
        <v>5400309.2879999997</v>
      </c>
      <c r="N1052" s="28">
        <v>5940340.2167999996</v>
      </c>
    </row>
    <row r="1053" spans="1:14" s="20" customFormat="1">
      <c r="A1053" s="253"/>
      <c r="B1053" s="231"/>
      <c r="C1053" s="32" t="s">
        <v>946</v>
      </c>
      <c r="D1053" s="77">
        <v>21020102</v>
      </c>
      <c r="E1053" s="135" t="s">
        <v>727</v>
      </c>
      <c r="F1053" s="136">
        <v>1963711.7999999998</v>
      </c>
      <c r="G1053" s="28">
        <v>1963711.7999999998</v>
      </c>
      <c r="H1053" s="28"/>
      <c r="I1053" s="28"/>
      <c r="J1053" s="28">
        <v>1963711.7999999998</v>
      </c>
      <c r="K1053" s="488"/>
      <c r="L1053" s="467">
        <v>1963711.7999999998</v>
      </c>
      <c r="M1053" s="28">
        <v>2160082.98</v>
      </c>
      <c r="N1053" s="28">
        <v>2376091.2779999999</v>
      </c>
    </row>
    <row r="1054" spans="1:14" s="20" customFormat="1">
      <c r="A1054" s="253"/>
      <c r="B1054" s="231"/>
      <c r="C1054" s="32" t="s">
        <v>946</v>
      </c>
      <c r="D1054" s="77">
        <v>21020103</v>
      </c>
      <c r="E1054" s="135" t="s">
        <v>728</v>
      </c>
      <c r="F1054" s="136">
        <v>981874.8</v>
      </c>
      <c r="G1054" s="28">
        <v>981874.8</v>
      </c>
      <c r="H1054" s="28"/>
      <c r="I1054" s="28"/>
      <c r="J1054" s="28">
        <v>981874.8</v>
      </c>
      <c r="K1054" s="488"/>
      <c r="L1054" s="467">
        <v>981874.8</v>
      </c>
      <c r="M1054" s="28">
        <v>1080062.28</v>
      </c>
      <c r="N1054" s="28">
        <v>1188068.5079999999</v>
      </c>
    </row>
    <row r="1055" spans="1:14" s="20" customFormat="1">
      <c r="A1055" s="253"/>
      <c r="B1055" s="231"/>
      <c r="C1055" s="32" t="s">
        <v>946</v>
      </c>
      <c r="D1055" s="77">
        <v>21020104</v>
      </c>
      <c r="E1055" s="135" t="s">
        <v>729</v>
      </c>
      <c r="F1055" s="136">
        <v>1356235.2</v>
      </c>
      <c r="G1055" s="28">
        <v>1356235.2</v>
      </c>
      <c r="H1055" s="28"/>
      <c r="I1055" s="28"/>
      <c r="J1055" s="28">
        <v>1356235.2</v>
      </c>
      <c r="K1055" s="488"/>
      <c r="L1055" s="467">
        <v>1356235.2</v>
      </c>
      <c r="M1055" s="28">
        <v>1491858.72</v>
      </c>
      <c r="N1055" s="28">
        <v>1641044.5919999999</v>
      </c>
    </row>
    <row r="1056" spans="1:14" s="20" customFormat="1">
      <c r="A1056" s="253"/>
      <c r="B1056" s="231"/>
      <c r="C1056" s="32" t="s">
        <v>946</v>
      </c>
      <c r="D1056" s="77">
        <v>21020105</v>
      </c>
      <c r="E1056" s="135" t="s">
        <v>730</v>
      </c>
      <c r="F1056" s="136">
        <v>509036.04</v>
      </c>
      <c r="G1056" s="28">
        <v>509036.04</v>
      </c>
      <c r="H1056" s="28"/>
      <c r="I1056" s="28"/>
      <c r="J1056" s="28">
        <v>509036.04</v>
      </c>
      <c r="K1056" s="488"/>
      <c r="L1056" s="467">
        <v>509036.04</v>
      </c>
      <c r="M1056" s="28">
        <v>559939.64399999997</v>
      </c>
      <c r="N1056" s="28">
        <v>615933.60840000003</v>
      </c>
    </row>
    <row r="1057" spans="1:14" s="20" customFormat="1">
      <c r="A1057" s="253"/>
      <c r="B1057" s="231"/>
      <c r="C1057" s="32" t="s">
        <v>946</v>
      </c>
      <c r="D1057" s="77">
        <v>21020106</v>
      </c>
      <c r="E1057" s="135" t="s">
        <v>731</v>
      </c>
      <c r="F1057" s="136">
        <v>124786.79999999999</v>
      </c>
      <c r="G1057" s="28">
        <v>124786.79999999999</v>
      </c>
      <c r="H1057" s="28"/>
      <c r="I1057" s="28"/>
      <c r="J1057" s="28">
        <v>124786.79999999999</v>
      </c>
      <c r="K1057" s="488"/>
      <c r="L1057" s="467">
        <v>124786.79999999999</v>
      </c>
      <c r="M1057" s="28">
        <v>137265.47999999998</v>
      </c>
      <c r="N1057" s="28">
        <v>150992.02799999999</v>
      </c>
    </row>
    <row r="1058" spans="1:14" s="20" customFormat="1">
      <c r="A1058" s="253"/>
      <c r="B1058" s="231"/>
      <c r="C1058" s="32" t="s">
        <v>946</v>
      </c>
      <c r="D1058" s="77">
        <v>21020107</v>
      </c>
      <c r="E1058" s="135" t="s">
        <v>732</v>
      </c>
      <c r="F1058" s="136">
        <v>2231901</v>
      </c>
      <c r="G1058" s="28">
        <v>2231901</v>
      </c>
      <c r="H1058" s="28"/>
      <c r="I1058" s="28"/>
      <c r="J1058" s="28">
        <v>2231901</v>
      </c>
      <c r="K1058" s="488"/>
      <c r="L1058" s="467">
        <v>2231901</v>
      </c>
      <c r="M1058" s="28">
        <v>2455091.1</v>
      </c>
      <c r="N1058" s="28">
        <v>2700600.21</v>
      </c>
    </row>
    <row r="1059" spans="1:14" s="20" customFormat="1">
      <c r="A1059" s="258"/>
      <c r="B1059" s="231"/>
      <c r="C1059" s="236" t="s">
        <v>1842</v>
      </c>
      <c r="D1059" s="229"/>
      <c r="E1059" s="229"/>
      <c r="F1059" s="221">
        <f>SUM(F1051:F1058)</f>
        <v>32962267.560000002</v>
      </c>
      <c r="G1059" s="299">
        <f>SUM(G1051:G1058)</f>
        <v>32962267.560000002</v>
      </c>
      <c r="H1059" s="299">
        <f t="shared" ref="H1059:I1059" si="195">SUM(H1051:H1058)</f>
        <v>0</v>
      </c>
      <c r="I1059" s="299">
        <f t="shared" si="195"/>
        <v>0</v>
      </c>
      <c r="J1059" s="299">
        <f>SUM(J1051:J1058)</f>
        <v>32962267.560000002</v>
      </c>
      <c r="K1059" s="503"/>
      <c r="L1059" s="475">
        <f>SUM(L1051:L1058)</f>
        <v>32962267.560000002</v>
      </c>
      <c r="M1059" s="300">
        <f>SUM(M1051:M1058)</f>
        <v>36258494.316</v>
      </c>
      <c r="N1059" s="300">
        <f>SUM(N1051:N1058)</f>
        <v>39884343.747600004</v>
      </c>
    </row>
    <row r="1060" spans="1:14" s="20" customFormat="1">
      <c r="A1060" s="253"/>
      <c r="B1060" s="231"/>
      <c r="C1060" s="32" t="s">
        <v>47</v>
      </c>
      <c r="D1060" s="77">
        <v>22020301</v>
      </c>
      <c r="E1060" s="135" t="s">
        <v>737</v>
      </c>
      <c r="F1060" s="136">
        <v>28179600</v>
      </c>
      <c r="G1060" s="28">
        <v>8179600</v>
      </c>
      <c r="H1060" s="28"/>
      <c r="I1060" s="28"/>
      <c r="J1060" s="28">
        <v>8179600</v>
      </c>
      <c r="K1060" s="488">
        <f>J1060*4.38%</f>
        <v>358266.48</v>
      </c>
      <c r="L1060" s="469">
        <v>7821333.5200000005</v>
      </c>
      <c r="M1060" s="28">
        <v>28179600</v>
      </c>
      <c r="N1060" s="28">
        <v>28179600</v>
      </c>
    </row>
    <row r="1061" spans="1:14" s="20" customFormat="1">
      <c r="A1061" s="253"/>
      <c r="B1061" s="231"/>
      <c r="C1061" s="32" t="s">
        <v>47</v>
      </c>
      <c r="D1061" s="77">
        <v>22020305</v>
      </c>
      <c r="E1061" s="135" t="s">
        <v>755</v>
      </c>
      <c r="F1061" s="136">
        <v>400000</v>
      </c>
      <c r="G1061" s="28">
        <v>400000</v>
      </c>
      <c r="H1061" s="28"/>
      <c r="I1061" s="28"/>
      <c r="J1061" s="28">
        <v>400000</v>
      </c>
      <c r="K1061" s="488">
        <f t="shared" ref="K1061:K1075" si="196">J1061*4.38%</f>
        <v>17520</v>
      </c>
      <c r="L1061" s="469">
        <v>382480</v>
      </c>
      <c r="M1061" s="28">
        <v>400000</v>
      </c>
      <c r="N1061" s="28">
        <v>400000</v>
      </c>
    </row>
    <row r="1062" spans="1:14" s="20" customFormat="1">
      <c r="A1062" s="253"/>
      <c r="B1062" s="231"/>
      <c r="C1062" s="32" t="s">
        <v>47</v>
      </c>
      <c r="D1062" s="77">
        <v>22020306</v>
      </c>
      <c r="E1062" s="135" t="s">
        <v>765</v>
      </c>
      <c r="F1062" s="136">
        <v>25800000</v>
      </c>
      <c r="G1062" s="28">
        <v>4000000</v>
      </c>
      <c r="H1062" s="28"/>
      <c r="I1062" s="28"/>
      <c r="J1062" s="28">
        <v>4000000</v>
      </c>
      <c r="K1062" s="488">
        <f t="shared" si="196"/>
        <v>175200</v>
      </c>
      <c r="L1062" s="469">
        <v>3824800</v>
      </c>
      <c r="M1062" s="28">
        <v>25800000</v>
      </c>
      <c r="N1062" s="28">
        <v>25800000</v>
      </c>
    </row>
    <row r="1063" spans="1:14" s="20" customFormat="1">
      <c r="A1063" s="253"/>
      <c r="B1063" s="231"/>
      <c r="C1063" s="32" t="s">
        <v>47</v>
      </c>
      <c r="D1063" s="77">
        <v>22020401</v>
      </c>
      <c r="E1063" s="135" t="s">
        <v>741</v>
      </c>
      <c r="F1063" s="136">
        <v>18122000</v>
      </c>
      <c r="G1063" s="28">
        <v>5000000</v>
      </c>
      <c r="H1063" s="28"/>
      <c r="I1063" s="28"/>
      <c r="J1063" s="28">
        <v>5000000</v>
      </c>
      <c r="K1063" s="488">
        <f t="shared" si="196"/>
        <v>219000</v>
      </c>
      <c r="L1063" s="469">
        <v>4781000</v>
      </c>
      <c r="M1063" s="28">
        <v>18122000</v>
      </c>
      <c r="N1063" s="28">
        <v>18122000</v>
      </c>
    </row>
    <row r="1064" spans="1:14" s="20" customFormat="1">
      <c r="A1064" s="253"/>
      <c r="B1064" s="231"/>
      <c r="C1064" s="32" t="s">
        <v>47</v>
      </c>
      <c r="D1064" s="77">
        <v>22020402</v>
      </c>
      <c r="E1064" s="135" t="s">
        <v>757</v>
      </c>
      <c r="F1064" s="136">
        <v>1380000</v>
      </c>
      <c r="G1064" s="28">
        <v>1380000</v>
      </c>
      <c r="H1064" s="28"/>
      <c r="I1064" s="28"/>
      <c r="J1064" s="28">
        <v>1380000</v>
      </c>
      <c r="K1064" s="488">
        <f t="shared" si="196"/>
        <v>60444</v>
      </c>
      <c r="L1064" s="469">
        <v>1319556</v>
      </c>
      <c r="M1064" s="28">
        <v>1380000</v>
      </c>
      <c r="N1064" s="28">
        <v>1380000</v>
      </c>
    </row>
    <row r="1065" spans="1:14" s="20" customFormat="1">
      <c r="A1065" s="253"/>
      <c r="B1065" s="231"/>
      <c r="C1065" s="32" t="s">
        <v>47</v>
      </c>
      <c r="D1065" s="77">
        <v>22020404</v>
      </c>
      <c r="E1065" s="135" t="s">
        <v>742</v>
      </c>
      <c r="F1065" s="136">
        <v>1525000</v>
      </c>
      <c r="G1065" s="28">
        <v>1525000</v>
      </c>
      <c r="H1065" s="28"/>
      <c r="I1065" s="28"/>
      <c r="J1065" s="28">
        <v>1525000</v>
      </c>
      <c r="K1065" s="488">
        <f t="shared" si="196"/>
        <v>66795</v>
      </c>
      <c r="L1065" s="469">
        <v>1458205</v>
      </c>
      <c r="M1065" s="28">
        <v>1525000</v>
      </c>
      <c r="N1065" s="28">
        <v>1525000</v>
      </c>
    </row>
    <row r="1066" spans="1:14" s="20" customFormat="1">
      <c r="A1066" s="253"/>
      <c r="B1066" s="231"/>
      <c r="C1066" s="32" t="s">
        <v>47</v>
      </c>
      <c r="D1066" s="77">
        <v>22020405</v>
      </c>
      <c r="E1066" s="135" t="s">
        <v>743</v>
      </c>
      <c r="F1066" s="136">
        <v>4320000</v>
      </c>
      <c r="G1066" s="28">
        <v>4320000</v>
      </c>
      <c r="H1066" s="28"/>
      <c r="I1066" s="28"/>
      <c r="J1066" s="28">
        <v>4320000</v>
      </c>
      <c r="K1066" s="488">
        <f t="shared" si="196"/>
        <v>189216</v>
      </c>
      <c r="L1066" s="469">
        <v>4130784</v>
      </c>
      <c r="M1066" s="28">
        <v>4320000</v>
      </c>
      <c r="N1066" s="28">
        <v>4320000</v>
      </c>
    </row>
    <row r="1067" spans="1:14" s="20" customFormat="1">
      <c r="A1067" s="253"/>
      <c r="B1067" s="231"/>
      <c r="C1067" s="32" t="s">
        <v>47</v>
      </c>
      <c r="D1067" s="77">
        <v>22020605</v>
      </c>
      <c r="E1067" s="135" t="s">
        <v>768</v>
      </c>
      <c r="F1067" s="136">
        <v>200000000</v>
      </c>
      <c r="G1067" s="28">
        <v>120000000</v>
      </c>
      <c r="H1067" s="28"/>
      <c r="I1067" s="28"/>
      <c r="J1067" s="28">
        <v>120000000</v>
      </c>
      <c r="K1067" s="488">
        <f t="shared" si="196"/>
        <v>5256000</v>
      </c>
      <c r="L1067" s="469">
        <v>114744000</v>
      </c>
      <c r="M1067" s="28">
        <v>900018000</v>
      </c>
      <c r="N1067" s="28">
        <v>900018000</v>
      </c>
    </row>
    <row r="1068" spans="1:14" s="20" customFormat="1">
      <c r="A1068" s="253"/>
      <c r="B1068" s="231"/>
      <c r="C1068" s="32" t="s">
        <v>47</v>
      </c>
      <c r="D1068" s="77">
        <v>22020703</v>
      </c>
      <c r="E1068" s="135" t="s">
        <v>770</v>
      </c>
      <c r="F1068" s="136">
        <v>29005000</v>
      </c>
      <c r="G1068" s="28">
        <v>5000000</v>
      </c>
      <c r="H1068" s="28"/>
      <c r="I1068" s="28"/>
      <c r="J1068" s="28">
        <v>5000000</v>
      </c>
      <c r="K1068" s="488">
        <f t="shared" si="196"/>
        <v>219000</v>
      </c>
      <c r="L1068" s="469">
        <v>4781000</v>
      </c>
      <c r="M1068" s="28">
        <v>29005000</v>
      </c>
      <c r="N1068" s="28">
        <v>29005000</v>
      </c>
    </row>
    <row r="1069" spans="1:14" s="20" customFormat="1">
      <c r="A1069" s="253"/>
      <c r="B1069" s="231"/>
      <c r="C1069" s="32" t="s">
        <v>47</v>
      </c>
      <c r="D1069" s="77">
        <v>22020709</v>
      </c>
      <c r="E1069" s="135" t="s">
        <v>771</v>
      </c>
      <c r="F1069" s="136">
        <v>6001000</v>
      </c>
      <c r="G1069" s="28">
        <v>1000000</v>
      </c>
      <c r="H1069" s="28"/>
      <c r="I1069" s="28"/>
      <c r="J1069" s="28">
        <v>1000000</v>
      </c>
      <c r="K1069" s="488">
        <f t="shared" si="196"/>
        <v>43800</v>
      </c>
      <c r="L1069" s="469">
        <v>956200</v>
      </c>
      <c r="M1069" s="28">
        <v>6001000</v>
      </c>
      <c r="N1069" s="28">
        <v>6001000</v>
      </c>
    </row>
    <row r="1070" spans="1:14" s="20" customFormat="1">
      <c r="A1070" s="253"/>
      <c r="B1070" s="231"/>
      <c r="C1070" s="32" t="s">
        <v>47</v>
      </c>
      <c r="D1070" s="77">
        <v>22020801</v>
      </c>
      <c r="E1070" s="135" t="s">
        <v>747</v>
      </c>
      <c r="F1070" s="136">
        <v>2436000</v>
      </c>
      <c r="G1070" s="28">
        <v>2436000</v>
      </c>
      <c r="H1070" s="28"/>
      <c r="I1070" s="28"/>
      <c r="J1070" s="28">
        <v>2436000</v>
      </c>
      <c r="K1070" s="488">
        <f t="shared" si="196"/>
        <v>106696.8</v>
      </c>
      <c r="L1070" s="469">
        <v>2329303.2000000002</v>
      </c>
      <c r="M1070" s="28">
        <v>2436000</v>
      </c>
      <c r="N1070" s="28">
        <v>2436000</v>
      </c>
    </row>
    <row r="1071" spans="1:14" s="20" customFormat="1">
      <c r="A1071" s="253"/>
      <c r="B1071" s="231"/>
      <c r="C1071" s="32" t="s">
        <v>47</v>
      </c>
      <c r="D1071" s="77">
        <v>22020803</v>
      </c>
      <c r="E1071" s="135" t="s">
        <v>748</v>
      </c>
      <c r="F1071" s="136">
        <v>4584000</v>
      </c>
      <c r="G1071" s="28">
        <v>4584000</v>
      </c>
      <c r="H1071" s="28"/>
      <c r="I1071" s="28"/>
      <c r="J1071" s="28">
        <v>4584000</v>
      </c>
      <c r="K1071" s="488">
        <f t="shared" si="196"/>
        <v>200779.19999999998</v>
      </c>
      <c r="L1071" s="469">
        <v>4383220.8</v>
      </c>
      <c r="M1071" s="28">
        <v>4584000</v>
      </c>
      <c r="N1071" s="28">
        <v>4584000</v>
      </c>
    </row>
    <row r="1072" spans="1:14" s="20" customFormat="1">
      <c r="A1072" s="253"/>
      <c r="B1072" s="231"/>
      <c r="C1072" s="32" t="s">
        <v>47</v>
      </c>
      <c r="D1072" s="77">
        <v>22020901</v>
      </c>
      <c r="E1072" s="135" t="s">
        <v>749</v>
      </c>
      <c r="F1072" s="136">
        <v>136000</v>
      </c>
      <c r="G1072" s="28">
        <v>136000</v>
      </c>
      <c r="H1072" s="28"/>
      <c r="I1072" s="28"/>
      <c r="J1072" s="28">
        <v>136000</v>
      </c>
      <c r="K1072" s="488">
        <f t="shared" si="196"/>
        <v>5956.8</v>
      </c>
      <c r="L1072" s="469">
        <v>130043.20000000001</v>
      </c>
      <c r="M1072" s="28">
        <v>8136000</v>
      </c>
      <c r="N1072" s="28">
        <v>8136000</v>
      </c>
    </row>
    <row r="1073" spans="1:14" s="20" customFormat="1">
      <c r="A1073" s="253"/>
      <c r="B1073" s="231"/>
      <c r="C1073" s="32" t="s">
        <v>47</v>
      </c>
      <c r="D1073" s="77">
        <v>22021003</v>
      </c>
      <c r="E1073" s="135" t="s">
        <v>760</v>
      </c>
      <c r="F1073" s="136">
        <v>31071000</v>
      </c>
      <c r="G1073" s="28">
        <v>1071000</v>
      </c>
      <c r="H1073" s="28"/>
      <c r="I1073" s="28"/>
      <c r="J1073" s="28">
        <v>1071000</v>
      </c>
      <c r="K1073" s="488">
        <f t="shared" si="196"/>
        <v>46909.799999999996</v>
      </c>
      <c r="L1073" s="469">
        <v>1024090.2000000001</v>
      </c>
      <c r="M1073" s="28">
        <v>31071000</v>
      </c>
      <c r="N1073" s="28">
        <v>31071000</v>
      </c>
    </row>
    <row r="1074" spans="1:14" s="20" customFormat="1">
      <c r="A1074" s="253"/>
      <c r="B1074" s="231"/>
      <c r="C1074" s="32" t="s">
        <v>47</v>
      </c>
      <c r="D1074" s="77">
        <v>22021014</v>
      </c>
      <c r="E1074" s="135" t="s">
        <v>800</v>
      </c>
      <c r="F1074" s="136">
        <v>20000</v>
      </c>
      <c r="G1074" s="28">
        <v>20000</v>
      </c>
      <c r="H1074" s="28"/>
      <c r="I1074" s="28"/>
      <c r="J1074" s="28">
        <v>20000</v>
      </c>
      <c r="K1074" s="488">
        <f t="shared" si="196"/>
        <v>876</v>
      </c>
      <c r="L1074" s="469">
        <v>19124</v>
      </c>
      <c r="M1074" s="28">
        <v>566100</v>
      </c>
      <c r="N1074" s="28">
        <v>566100</v>
      </c>
    </row>
    <row r="1075" spans="1:14" s="20" customFormat="1">
      <c r="A1075" s="238"/>
      <c r="B1075" s="231"/>
      <c r="C1075" s="25" t="s">
        <v>1837</v>
      </c>
      <c r="D1075" s="77"/>
      <c r="E1075" s="77"/>
      <c r="F1075" s="137">
        <f>SUM(F1060:F1074)</f>
        <v>352979600</v>
      </c>
      <c r="G1075" s="114">
        <f>SUM(G1060:G1074)</f>
        <v>159051600</v>
      </c>
      <c r="H1075" s="114">
        <f t="shared" ref="H1075:I1075" si="197">SUM(H1060:H1074)</f>
        <v>0</v>
      </c>
      <c r="I1075" s="114">
        <f t="shared" si="197"/>
        <v>0</v>
      </c>
      <c r="J1075" s="114">
        <f>SUM(J1060:J1074)</f>
        <v>159051600</v>
      </c>
      <c r="K1075" s="490">
        <f t="shared" si="196"/>
        <v>6966460.0800000001</v>
      </c>
      <c r="L1075" s="468">
        <f>SUM(L1060:L1074)</f>
        <v>152085139.91999999</v>
      </c>
      <c r="M1075" s="114">
        <f>SUM(M1060:M1074)</f>
        <v>1061543700</v>
      </c>
      <c r="N1075" s="114">
        <f>SUM(N1060:N1074)</f>
        <v>1061543700</v>
      </c>
    </row>
    <row r="1076" spans="1:14" s="66" customFormat="1" ht="30">
      <c r="A1076" s="238" t="s">
        <v>1790</v>
      </c>
      <c r="B1076" s="231" t="s">
        <v>2141</v>
      </c>
      <c r="C1076" s="25"/>
      <c r="D1076" s="23"/>
      <c r="E1076" s="23"/>
      <c r="F1076" s="137">
        <f>F1075+F1059</f>
        <v>385941867.56</v>
      </c>
      <c r="G1076" s="114">
        <f>G1075+G1059</f>
        <v>192013867.56</v>
      </c>
      <c r="H1076" s="114">
        <f t="shared" ref="H1076:I1076" si="198">H1075+H1059</f>
        <v>0</v>
      </c>
      <c r="I1076" s="114">
        <f t="shared" si="198"/>
        <v>0</v>
      </c>
      <c r="J1076" s="114">
        <f>J1075+J1059</f>
        <v>192013867.56</v>
      </c>
      <c r="K1076" s="490"/>
      <c r="L1076" s="468">
        <f>L1075+L1059</f>
        <v>185047407.47999999</v>
      </c>
      <c r="M1076" s="114">
        <f>M1075+M1059</f>
        <v>1097802194.316</v>
      </c>
      <c r="N1076" s="114">
        <f>N1075+N1059</f>
        <v>1101428043.7476001</v>
      </c>
    </row>
    <row r="1077" spans="1:14" s="20" customFormat="1" ht="21">
      <c r="A1077" s="252"/>
      <c r="B1077" s="443"/>
      <c r="C1077" s="228"/>
      <c r="D1077" s="229"/>
      <c r="E1077" s="230"/>
      <c r="F1077" s="215"/>
      <c r="G1077" s="296"/>
      <c r="H1077" s="296"/>
      <c r="I1077" s="296"/>
      <c r="J1077" s="28"/>
      <c r="K1077" s="488"/>
      <c r="L1077" s="468"/>
      <c r="M1077" s="296"/>
      <c r="N1077" s="296"/>
    </row>
    <row r="1078" spans="1:14" s="20" customFormat="1" ht="30">
      <c r="A1078" s="238" t="s">
        <v>947</v>
      </c>
      <c r="B1078" s="231" t="s">
        <v>117</v>
      </c>
      <c r="C1078" s="32" t="s">
        <v>46</v>
      </c>
      <c r="D1078" s="77"/>
      <c r="E1078" s="135"/>
      <c r="F1078" s="136">
        <v>63915128.840000011</v>
      </c>
      <c r="G1078" s="28">
        <v>63915128.840000011</v>
      </c>
      <c r="H1078" s="28"/>
      <c r="I1078" s="28"/>
      <c r="J1078" s="28">
        <v>63915128.840000011</v>
      </c>
      <c r="K1078" s="488"/>
      <c r="L1078" s="467">
        <v>63915128.840000011</v>
      </c>
      <c r="M1078" s="28">
        <f>G1078*10%+G1078</f>
        <v>70306641.724000007</v>
      </c>
      <c r="N1078" s="28">
        <f>M1078*10%+M1078</f>
        <v>77337305.896400005</v>
      </c>
    </row>
    <row r="1079" spans="1:14" s="20" customFormat="1">
      <c r="A1079" s="238"/>
      <c r="B1079" s="231"/>
      <c r="C1079" s="30" t="s">
        <v>1836</v>
      </c>
      <c r="D1079" s="23"/>
      <c r="E1079" s="25"/>
      <c r="F1079" s="137">
        <f>SUM(F1078)</f>
        <v>63915128.840000011</v>
      </c>
      <c r="G1079" s="114">
        <f>SUM(G1078)</f>
        <v>63915128.840000011</v>
      </c>
      <c r="H1079" s="114">
        <f t="shared" ref="H1079:I1079" si="199">SUM(H1078)</f>
        <v>0</v>
      </c>
      <c r="I1079" s="114">
        <f t="shared" si="199"/>
        <v>0</v>
      </c>
      <c r="J1079" s="114">
        <f>SUM(J1078)</f>
        <v>63915128.840000011</v>
      </c>
      <c r="K1079" s="490"/>
      <c r="L1079" s="468">
        <f>SUM(L1078)</f>
        <v>63915128.840000011</v>
      </c>
      <c r="M1079" s="114">
        <f>SUM(M1078)</f>
        <v>70306641.724000007</v>
      </c>
      <c r="N1079" s="114">
        <f>SUM(N1078)</f>
        <v>77337305.896400005</v>
      </c>
    </row>
    <row r="1080" spans="1:14" s="20" customFormat="1">
      <c r="A1080" s="253"/>
      <c r="B1080" s="231"/>
      <c r="C1080" s="32" t="s">
        <v>47</v>
      </c>
      <c r="D1080" s="77">
        <v>22020105</v>
      </c>
      <c r="E1080" s="135" t="s">
        <v>1733</v>
      </c>
      <c r="F1080" s="136">
        <v>2158000</v>
      </c>
      <c r="G1080" s="28">
        <v>2158000</v>
      </c>
      <c r="H1080" s="28">
        <v>4000000</v>
      </c>
      <c r="I1080" s="28"/>
      <c r="J1080" s="28">
        <v>6158000</v>
      </c>
      <c r="K1080" s="488">
        <f>J1080*4.38%</f>
        <v>269720.39999999997</v>
      </c>
      <c r="L1080" s="469">
        <v>5888279.6000000006</v>
      </c>
      <c r="M1080" s="28">
        <v>2158000</v>
      </c>
      <c r="N1080" s="28">
        <v>2158000</v>
      </c>
    </row>
    <row r="1081" spans="1:14" s="20" customFormat="1">
      <c r="A1081" s="253"/>
      <c r="B1081" s="231"/>
      <c r="C1081" s="32" t="s">
        <v>47</v>
      </c>
      <c r="D1081" s="77">
        <v>22020301</v>
      </c>
      <c r="E1081" s="135" t="s">
        <v>737</v>
      </c>
      <c r="F1081" s="136">
        <v>5000000</v>
      </c>
      <c r="G1081" s="28">
        <v>5000000</v>
      </c>
      <c r="H1081" s="28"/>
      <c r="I1081" s="28"/>
      <c r="J1081" s="28">
        <v>5000000</v>
      </c>
      <c r="K1081" s="488">
        <f t="shared" ref="K1081:K1092" si="200">J1081*4.38%</f>
        <v>219000</v>
      </c>
      <c r="L1081" s="469">
        <v>4781000</v>
      </c>
      <c r="M1081" s="28">
        <v>15658590</v>
      </c>
      <c r="N1081" s="28">
        <v>15658590</v>
      </c>
    </row>
    <row r="1082" spans="1:14" s="20" customFormat="1">
      <c r="A1082" s="253"/>
      <c r="B1082" s="231"/>
      <c r="C1082" s="32" t="s">
        <v>47</v>
      </c>
      <c r="D1082" s="77">
        <v>22020401</v>
      </c>
      <c r="E1082" s="135" t="s">
        <v>741</v>
      </c>
      <c r="F1082" s="136">
        <v>4020000</v>
      </c>
      <c r="G1082" s="28">
        <v>4020000</v>
      </c>
      <c r="H1082" s="28"/>
      <c r="I1082" s="28"/>
      <c r="J1082" s="28">
        <v>4020000</v>
      </c>
      <c r="K1082" s="488">
        <f t="shared" si="200"/>
        <v>176076</v>
      </c>
      <c r="L1082" s="469">
        <v>3843924</v>
      </c>
      <c r="M1082" s="28">
        <v>4020000</v>
      </c>
      <c r="N1082" s="28">
        <v>4020000</v>
      </c>
    </row>
    <row r="1083" spans="1:14" s="20" customFormat="1">
      <c r="A1083" s="253"/>
      <c r="B1083" s="231"/>
      <c r="C1083" s="32" t="s">
        <v>47</v>
      </c>
      <c r="D1083" s="77">
        <v>22020404</v>
      </c>
      <c r="E1083" s="135" t="s">
        <v>742</v>
      </c>
      <c r="F1083" s="136">
        <v>1945000</v>
      </c>
      <c r="G1083" s="28">
        <v>1945000</v>
      </c>
      <c r="H1083" s="28"/>
      <c r="I1083" s="28"/>
      <c r="J1083" s="28">
        <v>1945000</v>
      </c>
      <c r="K1083" s="488">
        <f t="shared" si="200"/>
        <v>85191</v>
      </c>
      <c r="L1083" s="469">
        <v>1859809</v>
      </c>
      <c r="M1083" s="28">
        <v>1945000</v>
      </c>
      <c r="N1083" s="28">
        <v>1945000</v>
      </c>
    </row>
    <row r="1084" spans="1:14" s="20" customFormat="1">
      <c r="A1084" s="253"/>
      <c r="B1084" s="231"/>
      <c r="C1084" s="32" t="s">
        <v>47</v>
      </c>
      <c r="D1084" s="77">
        <v>22020405</v>
      </c>
      <c r="E1084" s="135" t="s">
        <v>743</v>
      </c>
      <c r="F1084" s="136">
        <v>560000</v>
      </c>
      <c r="G1084" s="28">
        <v>560000</v>
      </c>
      <c r="H1084" s="28"/>
      <c r="I1084" s="28"/>
      <c r="J1084" s="28">
        <v>560000</v>
      </c>
      <c r="K1084" s="488">
        <f t="shared" si="200"/>
        <v>24528</v>
      </c>
      <c r="L1084" s="469">
        <v>535472</v>
      </c>
      <c r="M1084" s="28">
        <v>560000</v>
      </c>
      <c r="N1084" s="28">
        <v>560000</v>
      </c>
    </row>
    <row r="1085" spans="1:14" s="20" customFormat="1">
      <c r="A1085" s="253"/>
      <c r="B1085" s="231"/>
      <c r="C1085" s="32" t="s">
        <v>47</v>
      </c>
      <c r="D1085" s="77">
        <v>22020408</v>
      </c>
      <c r="E1085" s="135" t="s">
        <v>948</v>
      </c>
      <c r="F1085" s="136">
        <v>800000</v>
      </c>
      <c r="G1085" s="28">
        <v>800000</v>
      </c>
      <c r="H1085" s="28"/>
      <c r="I1085" s="28"/>
      <c r="J1085" s="28">
        <v>800000</v>
      </c>
      <c r="K1085" s="488">
        <f t="shared" si="200"/>
        <v>35040</v>
      </c>
      <c r="L1085" s="469">
        <v>764960</v>
      </c>
      <c r="M1085" s="28">
        <v>800000</v>
      </c>
      <c r="N1085" s="28">
        <v>800000</v>
      </c>
    </row>
    <row r="1086" spans="1:14" s="20" customFormat="1">
      <c r="A1086" s="253"/>
      <c r="B1086" s="231"/>
      <c r="C1086" s="32" t="s">
        <v>47</v>
      </c>
      <c r="D1086" s="77">
        <v>22020414</v>
      </c>
      <c r="E1086" s="135" t="s">
        <v>1731</v>
      </c>
      <c r="F1086" s="136">
        <v>30000000</v>
      </c>
      <c r="G1086" s="28">
        <v>20000000</v>
      </c>
      <c r="H1086" s="28"/>
      <c r="I1086" s="28">
        <v>5000000</v>
      </c>
      <c r="J1086" s="28">
        <v>15000000</v>
      </c>
      <c r="K1086" s="488">
        <f t="shared" si="200"/>
        <v>657000</v>
      </c>
      <c r="L1086" s="469">
        <v>14343000</v>
      </c>
      <c r="M1086" s="28">
        <v>30000000</v>
      </c>
      <c r="N1086" s="28">
        <v>30000000</v>
      </c>
    </row>
    <row r="1087" spans="1:14" s="20" customFormat="1">
      <c r="A1087" s="253"/>
      <c r="B1087" s="231"/>
      <c r="C1087" s="32" t="s">
        <v>47</v>
      </c>
      <c r="D1087" s="77">
        <v>22020801</v>
      </c>
      <c r="E1087" s="135" t="s">
        <v>747</v>
      </c>
      <c r="F1087" s="136">
        <v>1440000</v>
      </c>
      <c r="G1087" s="28">
        <v>1440000</v>
      </c>
      <c r="H1087" s="28"/>
      <c r="I1087" s="28"/>
      <c r="J1087" s="28">
        <v>1440000</v>
      </c>
      <c r="K1087" s="488">
        <f t="shared" si="200"/>
        <v>63072</v>
      </c>
      <c r="L1087" s="469">
        <v>1376928</v>
      </c>
      <c r="M1087" s="28">
        <v>1440000</v>
      </c>
      <c r="N1087" s="28">
        <v>1440000</v>
      </c>
    </row>
    <row r="1088" spans="1:14" s="20" customFormat="1">
      <c r="A1088" s="253"/>
      <c r="B1088" s="231"/>
      <c r="C1088" s="32" t="s">
        <v>47</v>
      </c>
      <c r="D1088" s="77">
        <v>22020803</v>
      </c>
      <c r="E1088" s="135" t="s">
        <v>748</v>
      </c>
      <c r="F1088" s="136">
        <v>75600</v>
      </c>
      <c r="G1088" s="28">
        <f>75600+1000000</f>
        <v>1075600</v>
      </c>
      <c r="H1088" s="28"/>
      <c r="I1088" s="28"/>
      <c r="J1088" s="28">
        <v>1075600</v>
      </c>
      <c r="K1088" s="488">
        <f t="shared" si="200"/>
        <v>47111.28</v>
      </c>
      <c r="L1088" s="469">
        <v>1028488.7200000001</v>
      </c>
      <c r="M1088" s="28">
        <v>75600</v>
      </c>
      <c r="N1088" s="28">
        <v>75600</v>
      </c>
    </row>
    <row r="1089" spans="1:14" s="20" customFormat="1">
      <c r="A1089" s="253"/>
      <c r="B1089" s="231"/>
      <c r="C1089" s="32" t="s">
        <v>47</v>
      </c>
      <c r="D1089" s="77">
        <v>22020805</v>
      </c>
      <c r="E1089" s="135" t="s">
        <v>950</v>
      </c>
      <c r="F1089" s="136">
        <v>2700000</v>
      </c>
      <c r="G1089" s="28">
        <v>1700000</v>
      </c>
      <c r="H1089" s="28"/>
      <c r="I1089" s="28"/>
      <c r="J1089" s="28">
        <v>1700000</v>
      </c>
      <c r="K1089" s="488">
        <f t="shared" si="200"/>
        <v>74460</v>
      </c>
      <c r="L1089" s="469">
        <v>1625540</v>
      </c>
      <c r="M1089" s="28">
        <v>2700000</v>
      </c>
      <c r="N1089" s="28">
        <v>2700000</v>
      </c>
    </row>
    <row r="1090" spans="1:14" s="20" customFormat="1">
      <c r="A1090" s="253"/>
      <c r="B1090" s="231"/>
      <c r="C1090" s="32" t="s">
        <v>47</v>
      </c>
      <c r="D1090" s="77">
        <v>22020901</v>
      </c>
      <c r="E1090" s="135" t="s">
        <v>749</v>
      </c>
      <c r="F1090" s="136">
        <v>17400</v>
      </c>
      <c r="G1090" s="28">
        <v>17400</v>
      </c>
      <c r="H1090" s="28"/>
      <c r="I1090" s="28"/>
      <c r="J1090" s="28">
        <v>17400</v>
      </c>
      <c r="K1090" s="488">
        <f t="shared" si="200"/>
        <v>762.12</v>
      </c>
      <c r="L1090" s="469">
        <v>16637.88</v>
      </c>
      <c r="M1090" s="28">
        <v>17400</v>
      </c>
      <c r="N1090" s="28">
        <v>17400</v>
      </c>
    </row>
    <row r="1091" spans="1:14" s="20" customFormat="1">
      <c r="A1091" s="253"/>
      <c r="B1091" s="231"/>
      <c r="C1091" s="32" t="s">
        <v>47</v>
      </c>
      <c r="D1091" s="77">
        <v>22021003</v>
      </c>
      <c r="E1091" s="135" t="s">
        <v>760</v>
      </c>
      <c r="F1091" s="136">
        <v>2370000</v>
      </c>
      <c r="G1091" s="28">
        <v>500000</v>
      </c>
      <c r="H1091" s="28">
        <v>1000000</v>
      </c>
      <c r="I1091" s="28"/>
      <c r="J1091" s="28">
        <v>1500000</v>
      </c>
      <c r="K1091" s="488">
        <f t="shared" si="200"/>
        <v>65700</v>
      </c>
      <c r="L1091" s="469">
        <v>1434300</v>
      </c>
      <c r="M1091" s="28">
        <v>2370000</v>
      </c>
      <c r="N1091" s="28">
        <v>2370000</v>
      </c>
    </row>
    <row r="1092" spans="1:14" s="20" customFormat="1">
      <c r="A1092" s="238"/>
      <c r="B1092" s="231"/>
      <c r="C1092" s="30" t="s">
        <v>1837</v>
      </c>
      <c r="D1092" s="23"/>
      <c r="E1092" s="25"/>
      <c r="F1092" s="137">
        <f>SUM(F1080:F1091)</f>
        <v>51086000</v>
      </c>
      <c r="G1092" s="114">
        <f>SUM(G1080:G1091)</f>
        <v>39216000</v>
      </c>
      <c r="H1092" s="114">
        <f t="shared" ref="H1092:I1092" si="201">SUM(H1080:H1091)</f>
        <v>5000000</v>
      </c>
      <c r="I1092" s="114">
        <f t="shared" si="201"/>
        <v>5000000</v>
      </c>
      <c r="J1092" s="114">
        <f>SUM(J1080:J1091)</f>
        <v>39216000</v>
      </c>
      <c r="K1092" s="490">
        <f t="shared" si="200"/>
        <v>1717660.8</v>
      </c>
      <c r="L1092" s="468">
        <f>SUM(L1080:L1091)</f>
        <v>37498339.200000003</v>
      </c>
      <c r="M1092" s="114">
        <f>SUM(M1080:M1091)</f>
        <v>61744590</v>
      </c>
      <c r="N1092" s="114">
        <f>SUM(N1080:N1091)</f>
        <v>61744590</v>
      </c>
    </row>
    <row r="1093" spans="1:14" s="66" customFormat="1" ht="30">
      <c r="A1093" s="238" t="s">
        <v>947</v>
      </c>
      <c r="B1093" s="231" t="s">
        <v>1880</v>
      </c>
      <c r="C1093" s="30"/>
      <c r="D1093" s="23"/>
      <c r="E1093" s="25"/>
      <c r="F1093" s="137">
        <f>F1092+F1079</f>
        <v>115001128.84</v>
      </c>
      <c r="G1093" s="114">
        <f>G1092+G1079</f>
        <v>103131128.84</v>
      </c>
      <c r="H1093" s="114">
        <f t="shared" ref="H1093:I1093" si="202">H1092+H1079</f>
        <v>5000000</v>
      </c>
      <c r="I1093" s="114">
        <f t="shared" si="202"/>
        <v>5000000</v>
      </c>
      <c r="J1093" s="114">
        <f>J1092+J1079</f>
        <v>103131128.84</v>
      </c>
      <c r="K1093" s="490"/>
      <c r="L1093" s="468">
        <f>L1092+L1079</f>
        <v>101413468.04000002</v>
      </c>
      <c r="M1093" s="114">
        <f>M1092+M1079</f>
        <v>132051231.72400001</v>
      </c>
      <c r="N1093" s="114">
        <f>N1092+N1079</f>
        <v>139081895.8964</v>
      </c>
    </row>
    <row r="1094" spans="1:14" s="20" customFormat="1" ht="21">
      <c r="A1094" s="252"/>
      <c r="B1094" s="443"/>
      <c r="C1094" s="228"/>
      <c r="D1094" s="229"/>
      <c r="E1094" s="230"/>
      <c r="F1094" s="215"/>
      <c r="G1094" s="296"/>
      <c r="H1094" s="296"/>
      <c r="I1094" s="296"/>
      <c r="J1094" s="28"/>
      <c r="K1094" s="488"/>
      <c r="L1094" s="468"/>
      <c r="M1094" s="296"/>
      <c r="N1094" s="296"/>
    </row>
    <row r="1095" spans="1:14" s="20" customFormat="1" ht="30">
      <c r="A1095" s="238" t="s">
        <v>952</v>
      </c>
      <c r="B1095" s="231" t="s">
        <v>951</v>
      </c>
      <c r="C1095" s="32" t="s">
        <v>46</v>
      </c>
      <c r="D1095" s="77">
        <v>21010101</v>
      </c>
      <c r="E1095" s="135" t="s">
        <v>725</v>
      </c>
      <c r="F1095" s="136">
        <v>90101687.280000001</v>
      </c>
      <c r="G1095" s="28">
        <v>79993503.700000003</v>
      </c>
      <c r="H1095" s="28"/>
      <c r="I1095" s="28"/>
      <c r="J1095" s="28">
        <v>79993503.700000003</v>
      </c>
      <c r="K1095" s="488"/>
      <c r="L1095" s="467">
        <v>79993503.700000003</v>
      </c>
      <c r="M1095" s="28">
        <f>G1095*10%+G1095</f>
        <v>87992854.070000008</v>
      </c>
      <c r="N1095" s="28">
        <f>M1095*10%+M1095</f>
        <v>96792139.477000013</v>
      </c>
    </row>
    <row r="1096" spans="1:14" s="20" customFormat="1">
      <c r="A1096" s="238"/>
      <c r="B1096" s="231"/>
      <c r="C1096" s="30" t="s">
        <v>1836</v>
      </c>
      <c r="D1096" s="23"/>
      <c r="E1096" s="25"/>
      <c r="F1096" s="137">
        <f>SUM(F1095)</f>
        <v>90101687.280000001</v>
      </c>
      <c r="G1096" s="114">
        <f>SUM(G1095)</f>
        <v>79993503.700000003</v>
      </c>
      <c r="H1096" s="114">
        <f t="shared" ref="H1096:I1096" si="203">SUM(H1095)</f>
        <v>0</v>
      </c>
      <c r="I1096" s="114">
        <f t="shared" si="203"/>
        <v>0</v>
      </c>
      <c r="J1096" s="114">
        <f>SUM(J1095)</f>
        <v>79993503.700000003</v>
      </c>
      <c r="K1096" s="490"/>
      <c r="L1096" s="468">
        <f>SUM(L1095)</f>
        <v>79993503.700000003</v>
      </c>
      <c r="M1096" s="114">
        <f>SUM(M1095)</f>
        <v>87992854.070000008</v>
      </c>
      <c r="N1096" s="114">
        <f>SUM(N1095)</f>
        <v>96792139.477000013</v>
      </c>
    </row>
    <row r="1097" spans="1:14" s="20" customFormat="1">
      <c r="A1097" s="238"/>
      <c r="B1097" s="231"/>
      <c r="C1097" s="32" t="s">
        <v>47</v>
      </c>
      <c r="D1097" s="77">
        <v>22020105</v>
      </c>
      <c r="E1097" s="135" t="s">
        <v>1733</v>
      </c>
      <c r="F1097" s="137">
        <v>0</v>
      </c>
      <c r="G1097" s="297">
        <v>4000000</v>
      </c>
      <c r="H1097" s="297"/>
      <c r="I1097" s="297"/>
      <c r="J1097" s="28">
        <v>4000000</v>
      </c>
      <c r="K1097" s="488">
        <f>J1097*4.38%</f>
        <v>175200</v>
      </c>
      <c r="L1097" s="469">
        <v>3824800</v>
      </c>
      <c r="M1097" s="297">
        <f>G1097*10%+G1097</f>
        <v>4400000</v>
      </c>
      <c r="N1097" s="297">
        <f>M1097*10%+M1097</f>
        <v>4840000</v>
      </c>
    </row>
    <row r="1098" spans="1:14" s="20" customFormat="1">
      <c r="A1098" s="253"/>
      <c r="B1098" s="231"/>
      <c r="C1098" s="32" t="s">
        <v>47</v>
      </c>
      <c r="D1098" s="77">
        <v>22020201</v>
      </c>
      <c r="E1098" s="135" t="s">
        <v>849</v>
      </c>
      <c r="F1098" s="136">
        <v>144000</v>
      </c>
      <c r="G1098" s="28">
        <v>144000</v>
      </c>
      <c r="H1098" s="28"/>
      <c r="I1098" s="28"/>
      <c r="J1098" s="28">
        <v>144000</v>
      </c>
      <c r="K1098" s="488">
        <f t="shared" ref="K1098:K1108" si="204">J1098*4.38%</f>
        <v>6307.2</v>
      </c>
      <c r="L1098" s="469">
        <v>137692.80000000002</v>
      </c>
      <c r="M1098" s="28">
        <v>144000</v>
      </c>
      <c r="N1098" s="28">
        <v>144000</v>
      </c>
    </row>
    <row r="1099" spans="1:14" s="20" customFormat="1">
      <c r="A1099" s="253"/>
      <c r="B1099" s="231"/>
      <c r="C1099" s="32" t="s">
        <v>47</v>
      </c>
      <c r="D1099" s="77">
        <v>22020203</v>
      </c>
      <c r="E1099" s="135" t="s">
        <v>779</v>
      </c>
      <c r="F1099" s="136">
        <v>600000</v>
      </c>
      <c r="G1099" s="28">
        <v>600000</v>
      </c>
      <c r="H1099" s="28"/>
      <c r="I1099" s="28"/>
      <c r="J1099" s="28">
        <v>600000</v>
      </c>
      <c r="K1099" s="488">
        <f t="shared" si="204"/>
        <v>26280</v>
      </c>
      <c r="L1099" s="469">
        <v>573720</v>
      </c>
      <c r="M1099" s="28">
        <v>600000</v>
      </c>
      <c r="N1099" s="28">
        <v>600000</v>
      </c>
    </row>
    <row r="1100" spans="1:14" s="20" customFormat="1">
      <c r="A1100" s="253"/>
      <c r="B1100" s="231"/>
      <c r="C1100" s="32" t="s">
        <v>47</v>
      </c>
      <c r="D1100" s="77">
        <v>22020301</v>
      </c>
      <c r="E1100" s="135" t="s">
        <v>737</v>
      </c>
      <c r="F1100" s="136">
        <v>3000000</v>
      </c>
      <c r="G1100" s="28">
        <v>3000000</v>
      </c>
      <c r="H1100" s="28"/>
      <c r="I1100" s="28"/>
      <c r="J1100" s="28">
        <v>3000000</v>
      </c>
      <c r="K1100" s="488">
        <f t="shared" si="204"/>
        <v>131400</v>
      </c>
      <c r="L1100" s="469">
        <v>2868600</v>
      </c>
      <c r="M1100" s="28">
        <v>7251100</v>
      </c>
      <c r="N1100" s="28">
        <v>7256100</v>
      </c>
    </row>
    <row r="1101" spans="1:14" s="20" customFormat="1">
      <c r="A1101" s="253"/>
      <c r="B1101" s="231"/>
      <c r="C1101" s="32" t="s">
        <v>47</v>
      </c>
      <c r="D1101" s="77">
        <v>22020307</v>
      </c>
      <c r="E1101" s="135" t="s">
        <v>822</v>
      </c>
      <c r="F1101" s="136">
        <v>180000</v>
      </c>
      <c r="G1101" s="28">
        <v>180000</v>
      </c>
      <c r="H1101" s="28"/>
      <c r="I1101" s="28"/>
      <c r="J1101" s="28">
        <v>180000</v>
      </c>
      <c r="K1101" s="488">
        <f t="shared" si="204"/>
        <v>7884</v>
      </c>
      <c r="L1101" s="469">
        <v>172116</v>
      </c>
      <c r="M1101" s="28">
        <v>180000</v>
      </c>
      <c r="N1101" s="28">
        <v>180000</v>
      </c>
    </row>
    <row r="1102" spans="1:14" s="20" customFormat="1">
      <c r="A1102" s="253"/>
      <c r="B1102" s="231"/>
      <c r="C1102" s="32" t="s">
        <v>47</v>
      </c>
      <c r="D1102" s="77">
        <v>22020401</v>
      </c>
      <c r="E1102" s="135" t="s">
        <v>1728</v>
      </c>
      <c r="F1102" s="136">
        <v>3258000</v>
      </c>
      <c r="G1102" s="28">
        <v>3258000</v>
      </c>
      <c r="H1102" s="28"/>
      <c r="I1102" s="28"/>
      <c r="J1102" s="28">
        <v>3258000</v>
      </c>
      <c r="K1102" s="488">
        <f t="shared" si="204"/>
        <v>142700.4</v>
      </c>
      <c r="L1102" s="469">
        <v>3115299.6</v>
      </c>
      <c r="M1102" s="28">
        <v>3258000</v>
      </c>
      <c r="N1102" s="28">
        <v>3258000</v>
      </c>
    </row>
    <row r="1103" spans="1:14" s="20" customFormat="1">
      <c r="A1103" s="253"/>
      <c r="B1103" s="231"/>
      <c r="C1103" s="32" t="s">
        <v>47</v>
      </c>
      <c r="D1103" s="77">
        <v>22020402</v>
      </c>
      <c r="E1103" s="135" t="s">
        <v>757</v>
      </c>
      <c r="F1103" s="136">
        <v>48600</v>
      </c>
      <c r="G1103" s="28">
        <f>48600+200000</f>
        <v>248600</v>
      </c>
      <c r="H1103" s="28"/>
      <c r="I1103" s="28"/>
      <c r="J1103" s="28">
        <v>248600</v>
      </c>
      <c r="K1103" s="488">
        <f t="shared" si="204"/>
        <v>10888.68</v>
      </c>
      <c r="L1103" s="469">
        <v>237711.32</v>
      </c>
      <c r="M1103" s="28">
        <v>48600</v>
      </c>
      <c r="N1103" s="28">
        <v>48600</v>
      </c>
    </row>
    <row r="1104" spans="1:14" s="20" customFormat="1">
      <c r="A1104" s="253"/>
      <c r="B1104" s="231"/>
      <c r="C1104" s="32" t="s">
        <v>47</v>
      </c>
      <c r="D1104" s="77">
        <v>22020405</v>
      </c>
      <c r="E1104" s="135" t="s">
        <v>743</v>
      </c>
      <c r="F1104" s="136">
        <v>240000</v>
      </c>
      <c r="G1104" s="28">
        <v>240000</v>
      </c>
      <c r="H1104" s="28"/>
      <c r="I1104" s="28"/>
      <c r="J1104" s="28">
        <v>240000</v>
      </c>
      <c r="K1104" s="488">
        <f t="shared" si="204"/>
        <v>10512</v>
      </c>
      <c r="L1104" s="469">
        <v>229488</v>
      </c>
      <c r="M1104" s="28">
        <v>240000</v>
      </c>
      <c r="N1104" s="28">
        <v>240000</v>
      </c>
    </row>
    <row r="1105" spans="1:14" s="20" customFormat="1">
      <c r="A1105" s="253"/>
      <c r="B1105" s="231"/>
      <c r="C1105" s="32" t="s">
        <v>47</v>
      </c>
      <c r="D1105" s="77">
        <v>22020709</v>
      </c>
      <c r="E1105" s="135" t="s">
        <v>771</v>
      </c>
      <c r="F1105" s="136">
        <v>500000</v>
      </c>
      <c r="G1105" s="28">
        <v>500000</v>
      </c>
      <c r="H1105" s="28"/>
      <c r="I1105" s="28"/>
      <c r="J1105" s="28">
        <v>500000</v>
      </c>
      <c r="K1105" s="488">
        <f t="shared" si="204"/>
        <v>21900</v>
      </c>
      <c r="L1105" s="469">
        <v>478100</v>
      </c>
      <c r="M1105" s="28">
        <v>1500000</v>
      </c>
      <c r="N1105" s="28">
        <v>1500000</v>
      </c>
    </row>
    <row r="1106" spans="1:14" s="20" customFormat="1">
      <c r="A1106" s="253"/>
      <c r="B1106" s="231"/>
      <c r="C1106" s="32" t="s">
        <v>47</v>
      </c>
      <c r="D1106" s="77">
        <v>22020901</v>
      </c>
      <c r="E1106" s="135" t="s">
        <v>749</v>
      </c>
      <c r="F1106" s="136">
        <v>6400</v>
      </c>
      <c r="G1106" s="28">
        <v>6400</v>
      </c>
      <c r="H1106" s="28"/>
      <c r="I1106" s="28"/>
      <c r="J1106" s="28">
        <v>6400</v>
      </c>
      <c r="K1106" s="488">
        <f t="shared" si="204"/>
        <v>280.32</v>
      </c>
      <c r="L1106" s="469">
        <v>6119.68</v>
      </c>
      <c r="M1106" s="28">
        <v>6400</v>
      </c>
      <c r="N1106" s="28">
        <v>6400</v>
      </c>
    </row>
    <row r="1107" spans="1:14" s="20" customFormat="1">
      <c r="A1107" s="253"/>
      <c r="B1107" s="231"/>
      <c r="C1107" s="32" t="s">
        <v>47</v>
      </c>
      <c r="D1107" s="77">
        <v>22021003</v>
      </c>
      <c r="E1107" s="135" t="s">
        <v>760</v>
      </c>
      <c r="F1107" s="136">
        <f>400000+1000000</f>
        <v>1400000</v>
      </c>
      <c r="G1107" s="28">
        <v>1400000</v>
      </c>
      <c r="H1107" s="28"/>
      <c r="I1107" s="28"/>
      <c r="J1107" s="28">
        <v>1400000</v>
      </c>
      <c r="K1107" s="488">
        <f t="shared" si="204"/>
        <v>61320</v>
      </c>
      <c r="L1107" s="469">
        <v>1338680</v>
      </c>
      <c r="M1107" s="28">
        <v>400000</v>
      </c>
      <c r="N1107" s="28">
        <v>400000</v>
      </c>
    </row>
    <row r="1108" spans="1:14" s="20" customFormat="1">
      <c r="A1108" s="253"/>
      <c r="B1108" s="231"/>
      <c r="C1108" s="32" t="s">
        <v>47</v>
      </c>
      <c r="D1108" s="77">
        <v>22021014</v>
      </c>
      <c r="E1108" s="135" t="s">
        <v>800</v>
      </c>
      <c r="F1108" s="136">
        <v>200000</v>
      </c>
      <c r="G1108" s="28">
        <v>200000</v>
      </c>
      <c r="H1108" s="28"/>
      <c r="I1108" s="28"/>
      <c r="J1108" s="28">
        <v>200000</v>
      </c>
      <c r="K1108" s="488">
        <f t="shared" si="204"/>
        <v>8760</v>
      </c>
      <c r="L1108" s="469">
        <v>191240</v>
      </c>
      <c r="M1108" s="28">
        <v>1000000</v>
      </c>
      <c r="N1108" s="28">
        <v>1000000</v>
      </c>
    </row>
    <row r="1109" spans="1:14" s="20" customFormat="1">
      <c r="A1109" s="238"/>
      <c r="B1109" s="231"/>
      <c r="C1109" s="30" t="s">
        <v>1839</v>
      </c>
      <c r="D1109" s="23"/>
      <c r="E1109" s="25"/>
      <c r="F1109" s="137">
        <f>SUM(F1098:F1108)</f>
        <v>9577000</v>
      </c>
      <c r="G1109" s="114">
        <f>SUM(G1097:G1108)</f>
        <v>13777000</v>
      </c>
      <c r="H1109" s="114">
        <f t="shared" ref="H1109:I1109" si="205">SUM(H1097:H1108)</f>
        <v>0</v>
      </c>
      <c r="I1109" s="114">
        <f t="shared" si="205"/>
        <v>0</v>
      </c>
      <c r="J1109" s="114">
        <f>SUM(J1097:J1108)</f>
        <v>13777000</v>
      </c>
      <c r="K1109" s="490">
        <f>SUM(K1097:K1108)</f>
        <v>603432.6</v>
      </c>
      <c r="L1109" s="468">
        <f>SUM(L1097:L1108)</f>
        <v>13173567.4</v>
      </c>
      <c r="M1109" s="114">
        <f>SUM(M1097:M1108)</f>
        <v>19028100</v>
      </c>
      <c r="N1109" s="114">
        <f>SUM(N1097:N1108)</f>
        <v>19473100</v>
      </c>
    </row>
    <row r="1110" spans="1:14" s="66" customFormat="1" ht="30">
      <c r="A1110" s="238" t="s">
        <v>952</v>
      </c>
      <c r="B1110" s="231" t="s">
        <v>1881</v>
      </c>
      <c r="C1110" s="30"/>
      <c r="D1110" s="23"/>
      <c r="E1110" s="25"/>
      <c r="F1110" s="137">
        <f>F1109+F1096</f>
        <v>99678687.280000001</v>
      </c>
      <c r="G1110" s="114">
        <f>G1109+G1096</f>
        <v>93770503.700000003</v>
      </c>
      <c r="H1110" s="114">
        <f t="shared" ref="H1110:I1110" si="206">H1109+H1096</f>
        <v>0</v>
      </c>
      <c r="I1110" s="114">
        <f t="shared" si="206"/>
        <v>0</v>
      </c>
      <c r="J1110" s="114">
        <f>J1109+J1096</f>
        <v>93770503.700000003</v>
      </c>
      <c r="K1110" s="490"/>
      <c r="L1110" s="468">
        <f>L1109+L1096</f>
        <v>93167071.100000009</v>
      </c>
      <c r="M1110" s="114">
        <f>M1109+M1096</f>
        <v>107020954.07000001</v>
      </c>
      <c r="N1110" s="114">
        <f>N1109+N1096</f>
        <v>116265239.47700001</v>
      </c>
    </row>
    <row r="1111" spans="1:14" s="20" customFormat="1" ht="21">
      <c r="A1111" s="252"/>
      <c r="B1111" s="443"/>
      <c r="C1111" s="228"/>
      <c r="D1111" s="229"/>
      <c r="E1111" s="230"/>
      <c r="F1111" s="215"/>
      <c r="G1111" s="296"/>
      <c r="H1111" s="296"/>
      <c r="I1111" s="296"/>
      <c r="J1111" s="28"/>
      <c r="K1111" s="488"/>
      <c r="L1111" s="468"/>
      <c r="M1111" s="296"/>
      <c r="N1111" s="296"/>
    </row>
    <row r="1112" spans="1:14" s="20" customFormat="1">
      <c r="A1112" s="238" t="s">
        <v>953</v>
      </c>
      <c r="B1112" s="231" t="s">
        <v>106</v>
      </c>
      <c r="C1112" s="32" t="s">
        <v>46</v>
      </c>
      <c r="D1112" s="77">
        <v>21010101</v>
      </c>
      <c r="E1112" s="135" t="s">
        <v>954</v>
      </c>
      <c r="F1112" s="136">
        <v>213442235.40000001</v>
      </c>
      <c r="G1112" s="28">
        <v>213442235.40000001</v>
      </c>
      <c r="H1112" s="28"/>
      <c r="I1112" s="28"/>
      <c r="J1112" s="28">
        <v>213442235.40000001</v>
      </c>
      <c r="K1112" s="488"/>
      <c r="L1112" s="467">
        <v>213442235.40000001</v>
      </c>
      <c r="M1112" s="28">
        <v>314718553.17000008</v>
      </c>
      <c r="N1112" s="28">
        <v>330454480.82850003</v>
      </c>
    </row>
    <row r="1113" spans="1:14" s="20" customFormat="1">
      <c r="A1113" s="238"/>
      <c r="B1113" s="231"/>
      <c r="C1113" s="30" t="s">
        <v>1882</v>
      </c>
      <c r="D1113" s="23"/>
      <c r="E1113" s="25"/>
      <c r="F1113" s="137">
        <f>SUM(F1112:F1112)</f>
        <v>213442235.40000001</v>
      </c>
      <c r="G1113" s="114">
        <f>SUM(G1112:G1112)</f>
        <v>213442235.40000001</v>
      </c>
      <c r="H1113" s="114">
        <f t="shared" ref="H1113:I1113" si="207">SUM(H1112:H1112)</f>
        <v>0</v>
      </c>
      <c r="I1113" s="114">
        <f t="shared" si="207"/>
        <v>0</v>
      </c>
      <c r="J1113" s="114">
        <f>SUM(J1112:J1112)</f>
        <v>213442235.40000001</v>
      </c>
      <c r="K1113" s="490"/>
      <c r="L1113" s="468">
        <f>SUM(L1112:L1112)</f>
        <v>213442235.40000001</v>
      </c>
      <c r="M1113" s="114">
        <f>SUM(M1112:M1112)</f>
        <v>314718553.17000008</v>
      </c>
      <c r="N1113" s="114">
        <f>SUM(N1112:N1112)</f>
        <v>330454480.82850003</v>
      </c>
    </row>
    <row r="1114" spans="1:14" s="20" customFormat="1">
      <c r="A1114" s="253"/>
      <c r="B1114" s="231"/>
      <c r="C1114" s="32" t="s">
        <v>47</v>
      </c>
      <c r="D1114" s="77">
        <v>22020105</v>
      </c>
      <c r="E1114" s="135" t="s">
        <v>1733</v>
      </c>
      <c r="F1114" s="136">
        <v>10260000</v>
      </c>
      <c r="G1114" s="28">
        <v>10260000</v>
      </c>
      <c r="H1114" s="28"/>
      <c r="I1114" s="28"/>
      <c r="J1114" s="28">
        <v>10260000</v>
      </c>
      <c r="K1114" s="488">
        <f>J1114*4.38%</f>
        <v>449388</v>
      </c>
      <c r="L1114" s="469">
        <v>9810612</v>
      </c>
      <c r="M1114" s="28">
        <v>10060000</v>
      </c>
      <c r="N1114" s="28">
        <v>6300000</v>
      </c>
    </row>
    <row r="1115" spans="1:14" s="20" customFormat="1">
      <c r="A1115" s="253"/>
      <c r="B1115" s="231"/>
      <c r="C1115" s="32" t="s">
        <v>47</v>
      </c>
      <c r="D1115" s="77">
        <v>22020301</v>
      </c>
      <c r="E1115" s="135" t="s">
        <v>737</v>
      </c>
      <c r="F1115" s="136">
        <v>4200000</v>
      </c>
      <c r="G1115" s="28">
        <v>4200000</v>
      </c>
      <c r="H1115" s="28"/>
      <c r="I1115" s="28"/>
      <c r="J1115" s="28">
        <v>4200000</v>
      </c>
      <c r="K1115" s="488">
        <f t="shared" ref="K1115:K1130" si="208">J1115*4.38%</f>
        <v>183960</v>
      </c>
      <c r="L1115" s="469">
        <v>4016040</v>
      </c>
      <c r="M1115" s="28">
        <v>4200000</v>
      </c>
      <c r="N1115" s="28">
        <v>4200000</v>
      </c>
    </row>
    <row r="1116" spans="1:14" s="20" customFormat="1">
      <c r="A1116" s="253"/>
      <c r="B1116" s="231"/>
      <c r="C1116" s="32" t="s">
        <v>47</v>
      </c>
      <c r="D1116" s="77">
        <v>22020305</v>
      </c>
      <c r="E1116" s="135" t="s">
        <v>755</v>
      </c>
      <c r="F1116" s="136">
        <v>1007500</v>
      </c>
      <c r="G1116" s="28">
        <v>1007500</v>
      </c>
      <c r="H1116" s="28"/>
      <c r="I1116" s="28"/>
      <c r="J1116" s="28">
        <v>1007500</v>
      </c>
      <c r="K1116" s="488">
        <f t="shared" si="208"/>
        <v>44128.5</v>
      </c>
      <c r="L1116" s="469">
        <v>963371.5</v>
      </c>
      <c r="M1116" s="28">
        <v>927500</v>
      </c>
      <c r="N1116" s="28">
        <v>647500</v>
      </c>
    </row>
    <row r="1117" spans="1:14" s="20" customFormat="1">
      <c r="A1117" s="253"/>
      <c r="B1117" s="231"/>
      <c r="C1117" s="32" t="s">
        <v>47</v>
      </c>
      <c r="D1117" s="77">
        <v>22020401</v>
      </c>
      <c r="E1117" s="135" t="s">
        <v>1728</v>
      </c>
      <c r="F1117" s="136">
        <v>1760000</v>
      </c>
      <c r="G1117" s="28">
        <v>1760000</v>
      </c>
      <c r="H1117" s="28"/>
      <c r="I1117" s="28"/>
      <c r="J1117" s="28">
        <v>1760000</v>
      </c>
      <c r="K1117" s="488">
        <f t="shared" si="208"/>
        <v>77088</v>
      </c>
      <c r="L1117" s="469">
        <v>1682912</v>
      </c>
      <c r="M1117" s="28">
        <v>1760000</v>
      </c>
      <c r="N1117" s="28">
        <v>1760000</v>
      </c>
    </row>
    <row r="1118" spans="1:14" s="20" customFormat="1">
      <c r="A1118" s="253"/>
      <c r="B1118" s="231"/>
      <c r="C1118" s="32" t="s">
        <v>47</v>
      </c>
      <c r="D1118" s="77">
        <v>22020404</v>
      </c>
      <c r="E1118" s="135" t="s">
        <v>742</v>
      </c>
      <c r="F1118" s="136">
        <v>1160000</v>
      </c>
      <c r="G1118" s="28">
        <v>1160000</v>
      </c>
      <c r="H1118" s="28"/>
      <c r="I1118" s="28"/>
      <c r="J1118" s="28">
        <v>1160000</v>
      </c>
      <c r="K1118" s="488">
        <f t="shared" si="208"/>
        <v>50808</v>
      </c>
      <c r="L1118" s="469">
        <v>1109192</v>
      </c>
      <c r="M1118" s="28">
        <v>1160000</v>
      </c>
      <c r="N1118" s="28">
        <v>1160000</v>
      </c>
    </row>
    <row r="1119" spans="1:14" s="20" customFormat="1">
      <c r="A1119" s="253"/>
      <c r="B1119" s="231"/>
      <c r="C1119" s="32" t="s">
        <v>47</v>
      </c>
      <c r="D1119" s="77">
        <v>22020405</v>
      </c>
      <c r="E1119" s="135" t="s">
        <v>743</v>
      </c>
      <c r="F1119" s="136">
        <v>480000</v>
      </c>
      <c r="G1119" s="28">
        <v>480000</v>
      </c>
      <c r="H1119" s="28"/>
      <c r="I1119" s="28"/>
      <c r="J1119" s="28">
        <v>480000</v>
      </c>
      <c r="K1119" s="488">
        <f t="shared" si="208"/>
        <v>21024</v>
      </c>
      <c r="L1119" s="469">
        <v>458976</v>
      </c>
      <c r="M1119" s="28">
        <v>0</v>
      </c>
      <c r="N1119" s="28">
        <v>480000</v>
      </c>
    </row>
    <row r="1120" spans="1:14" s="20" customFormat="1">
      <c r="A1120" s="253"/>
      <c r="B1120" s="231"/>
      <c r="C1120" s="32" t="s">
        <v>47</v>
      </c>
      <c r="D1120" s="77">
        <v>22020416</v>
      </c>
      <c r="E1120" s="135" t="s">
        <v>782</v>
      </c>
      <c r="F1120" s="136">
        <v>573200</v>
      </c>
      <c r="G1120" s="28">
        <v>573200</v>
      </c>
      <c r="H1120" s="28"/>
      <c r="I1120" s="28"/>
      <c r="J1120" s="28">
        <v>573200</v>
      </c>
      <c r="K1120" s="488">
        <f t="shared" si="208"/>
        <v>25106.16</v>
      </c>
      <c r="L1120" s="469">
        <v>548093.84000000008</v>
      </c>
      <c r="M1120" s="28">
        <v>573200</v>
      </c>
      <c r="N1120" s="28">
        <v>573200</v>
      </c>
    </row>
    <row r="1121" spans="1:14" s="20" customFormat="1">
      <c r="A1121" s="253"/>
      <c r="B1121" s="231"/>
      <c r="C1121" s="32" t="s">
        <v>47</v>
      </c>
      <c r="D1121" s="77">
        <v>22020801</v>
      </c>
      <c r="E1121" s="135" t="s">
        <v>747</v>
      </c>
      <c r="F1121" s="136">
        <v>875560</v>
      </c>
      <c r="G1121" s="28">
        <v>875560</v>
      </c>
      <c r="H1121" s="28"/>
      <c r="I1121" s="28"/>
      <c r="J1121" s="28">
        <v>875560</v>
      </c>
      <c r="K1121" s="488">
        <f t="shared" si="208"/>
        <v>38349.527999999998</v>
      </c>
      <c r="L1121" s="469">
        <v>837210.47200000007</v>
      </c>
      <c r="M1121" s="28">
        <v>675560</v>
      </c>
      <c r="N1121" s="28">
        <v>650560</v>
      </c>
    </row>
    <row r="1122" spans="1:14" s="20" customFormat="1">
      <c r="A1122" s="253"/>
      <c r="B1122" s="231"/>
      <c r="C1122" s="32" t="s">
        <v>47</v>
      </c>
      <c r="D1122" s="77">
        <v>22020803</v>
      </c>
      <c r="E1122" s="135" t="s">
        <v>748</v>
      </c>
      <c r="F1122" s="136">
        <v>3699840</v>
      </c>
      <c r="G1122" s="28">
        <v>3699840</v>
      </c>
      <c r="H1122" s="28"/>
      <c r="I1122" s="28"/>
      <c r="J1122" s="28">
        <v>3699840</v>
      </c>
      <c r="K1122" s="488">
        <f t="shared" si="208"/>
        <v>162052.992</v>
      </c>
      <c r="L1122" s="469">
        <v>3537787.0080000004</v>
      </c>
      <c r="M1122" s="28">
        <v>3699840</v>
      </c>
      <c r="N1122" s="28">
        <v>3699840</v>
      </c>
    </row>
    <row r="1123" spans="1:14" s="20" customFormat="1">
      <c r="A1123" s="253"/>
      <c r="B1123" s="231"/>
      <c r="C1123" s="32" t="s">
        <v>47</v>
      </c>
      <c r="D1123" s="77">
        <v>22020901</v>
      </c>
      <c r="E1123" s="135" t="s">
        <v>749</v>
      </c>
      <c r="F1123" s="136">
        <v>40000</v>
      </c>
      <c r="G1123" s="28">
        <v>40000</v>
      </c>
      <c r="H1123" s="28"/>
      <c r="I1123" s="28"/>
      <c r="J1123" s="28">
        <v>40000</v>
      </c>
      <c r="K1123" s="488">
        <f t="shared" si="208"/>
        <v>1752</v>
      </c>
      <c r="L1123" s="469">
        <v>38248</v>
      </c>
      <c r="M1123" s="28">
        <v>40000</v>
      </c>
      <c r="N1123" s="28">
        <v>40000</v>
      </c>
    </row>
    <row r="1124" spans="1:14" s="20" customFormat="1">
      <c r="A1124" s="253"/>
      <c r="B1124" s="231"/>
      <c r="C1124" s="32" t="s">
        <v>47</v>
      </c>
      <c r="D1124" s="77">
        <v>22021001</v>
      </c>
      <c r="E1124" s="135" t="s">
        <v>772</v>
      </c>
      <c r="F1124" s="136">
        <v>9478000</v>
      </c>
      <c r="G1124" s="28">
        <v>9478000</v>
      </c>
      <c r="H1124" s="28"/>
      <c r="I1124" s="28"/>
      <c r="J1124" s="28">
        <v>9478000</v>
      </c>
      <c r="K1124" s="488">
        <f t="shared" si="208"/>
        <v>415136.39999999997</v>
      </c>
      <c r="L1124" s="469">
        <v>9062863.5999999996</v>
      </c>
      <c r="M1124" s="28">
        <v>7570000</v>
      </c>
      <c r="N1124" s="28">
        <v>3286000</v>
      </c>
    </row>
    <row r="1125" spans="1:14" s="20" customFormat="1">
      <c r="A1125" s="253"/>
      <c r="B1125" s="231"/>
      <c r="C1125" s="32" t="s">
        <v>47</v>
      </c>
      <c r="D1125" s="77">
        <v>22021003</v>
      </c>
      <c r="E1125" s="135" t="s">
        <v>760</v>
      </c>
      <c r="F1125" s="136">
        <v>1800000</v>
      </c>
      <c r="G1125" s="28">
        <v>1800000</v>
      </c>
      <c r="H1125" s="28"/>
      <c r="I1125" s="28"/>
      <c r="J1125" s="28">
        <v>1800000</v>
      </c>
      <c r="K1125" s="488">
        <f t="shared" si="208"/>
        <v>78840</v>
      </c>
      <c r="L1125" s="469">
        <v>1721160</v>
      </c>
      <c r="M1125" s="28">
        <v>1800000</v>
      </c>
      <c r="N1125" s="28">
        <v>1800000</v>
      </c>
    </row>
    <row r="1126" spans="1:14" s="20" customFormat="1">
      <c r="A1126" s="253"/>
      <c r="B1126" s="231"/>
      <c r="C1126" s="32" t="s">
        <v>47</v>
      </c>
      <c r="D1126" s="77">
        <v>22021014</v>
      </c>
      <c r="E1126" s="135" t="s">
        <v>2169</v>
      </c>
      <c r="F1126" s="136">
        <v>102539640</v>
      </c>
      <c r="G1126" s="28">
        <f>50000000+6000000</f>
        <v>56000000</v>
      </c>
      <c r="H1126" s="28"/>
      <c r="I1126" s="28"/>
      <c r="J1126" s="28">
        <v>56000000</v>
      </c>
      <c r="K1126" s="488">
        <f t="shared" si="208"/>
        <v>2452800</v>
      </c>
      <c r="L1126" s="469">
        <v>53547200</v>
      </c>
      <c r="M1126" s="28">
        <v>26340000</v>
      </c>
      <c r="N1126" s="28">
        <v>26340000</v>
      </c>
    </row>
    <row r="1127" spans="1:14" s="20" customFormat="1">
      <c r="A1127" s="253"/>
      <c r="B1127" s="231"/>
      <c r="C1127" s="32" t="s">
        <v>47</v>
      </c>
      <c r="D1127" s="77">
        <v>22021026</v>
      </c>
      <c r="E1127" s="135" t="s">
        <v>751</v>
      </c>
      <c r="F1127" s="136">
        <v>220000</v>
      </c>
      <c r="G1127" s="28">
        <v>220000</v>
      </c>
      <c r="H1127" s="28"/>
      <c r="I1127" s="28"/>
      <c r="J1127" s="28">
        <v>220000</v>
      </c>
      <c r="K1127" s="488">
        <f t="shared" si="208"/>
        <v>9636</v>
      </c>
      <c r="L1127" s="469">
        <v>210364</v>
      </c>
      <c r="M1127" s="28">
        <v>220000</v>
      </c>
      <c r="N1127" s="28">
        <v>220000</v>
      </c>
    </row>
    <row r="1128" spans="1:14" s="20" customFormat="1">
      <c r="A1128" s="253"/>
      <c r="B1128" s="231"/>
      <c r="C1128" s="32" t="s">
        <v>47</v>
      </c>
      <c r="D1128" s="77">
        <v>22021044</v>
      </c>
      <c r="E1128" s="135" t="s">
        <v>955</v>
      </c>
      <c r="F1128" s="136">
        <v>56000000</v>
      </c>
      <c r="G1128" s="28">
        <v>56000000</v>
      </c>
      <c r="H1128" s="28"/>
      <c r="I1128" s="28"/>
      <c r="J1128" s="28">
        <v>56000000</v>
      </c>
      <c r="K1128" s="488">
        <f t="shared" si="208"/>
        <v>2452800</v>
      </c>
      <c r="L1128" s="469">
        <v>53547200</v>
      </c>
      <c r="M1128" s="28">
        <v>36000000</v>
      </c>
      <c r="N1128" s="28">
        <f>M1128*10%+M1128</f>
        <v>39600000</v>
      </c>
    </row>
    <row r="1129" spans="1:14" s="20" customFormat="1">
      <c r="A1129" s="253"/>
      <c r="B1129" s="231"/>
      <c r="C1129" s="32" t="s">
        <v>47</v>
      </c>
      <c r="D1129" s="77">
        <v>22040119</v>
      </c>
      <c r="E1129" s="135" t="s">
        <v>802</v>
      </c>
      <c r="F1129" s="136">
        <v>60000000</v>
      </c>
      <c r="G1129" s="28">
        <v>60000000</v>
      </c>
      <c r="H1129" s="28"/>
      <c r="I1129" s="28"/>
      <c r="J1129" s="28">
        <v>60000000</v>
      </c>
      <c r="K1129" s="488">
        <f t="shared" si="208"/>
        <v>2628000</v>
      </c>
      <c r="L1129" s="469">
        <v>57372000</v>
      </c>
      <c r="M1129" s="28">
        <v>60000000</v>
      </c>
      <c r="N1129" s="28">
        <f>M1129*10%+M1129</f>
        <v>66000000</v>
      </c>
    </row>
    <row r="1130" spans="1:14" s="20" customFormat="1">
      <c r="A1130" s="238"/>
      <c r="B1130" s="231"/>
      <c r="C1130" s="30" t="s">
        <v>1837</v>
      </c>
      <c r="D1130" s="23"/>
      <c r="E1130" s="25"/>
      <c r="F1130" s="137">
        <f>SUM(F1114:F1129)</f>
        <v>254093740</v>
      </c>
      <c r="G1130" s="114">
        <f>SUM(G1114:G1129)</f>
        <v>207554100</v>
      </c>
      <c r="H1130" s="114">
        <f t="shared" ref="H1130:I1130" si="209">SUM(H1114:H1129)</f>
        <v>0</v>
      </c>
      <c r="I1130" s="114">
        <f t="shared" si="209"/>
        <v>0</v>
      </c>
      <c r="J1130" s="114">
        <f>SUM(J1114:J1129)</f>
        <v>207554100</v>
      </c>
      <c r="K1130" s="490">
        <f t="shared" si="208"/>
        <v>9090869.5800000001</v>
      </c>
      <c r="L1130" s="468">
        <f>SUM(L1114:L1129)</f>
        <v>198463230.42000002</v>
      </c>
      <c r="M1130" s="114">
        <f>SUM(M1114:M1129)</f>
        <v>155026100</v>
      </c>
      <c r="N1130" s="114">
        <f>SUM(N1114:N1129)</f>
        <v>156757100</v>
      </c>
    </row>
    <row r="1131" spans="1:14" s="66" customFormat="1" ht="30">
      <c r="A1131" s="238" t="s">
        <v>953</v>
      </c>
      <c r="B1131" s="231" t="s">
        <v>1883</v>
      </c>
      <c r="C1131" s="30"/>
      <c r="D1131" s="23"/>
      <c r="E1131" s="25"/>
      <c r="F1131" s="137">
        <f>F1130+F1113</f>
        <v>467535975.39999998</v>
      </c>
      <c r="G1131" s="114">
        <f>G1130+G1113</f>
        <v>420996335.39999998</v>
      </c>
      <c r="H1131" s="114">
        <f t="shared" ref="H1131:I1131" si="210">H1130+H1113</f>
        <v>0</v>
      </c>
      <c r="I1131" s="114">
        <f t="shared" si="210"/>
        <v>0</v>
      </c>
      <c r="J1131" s="114">
        <f>J1130+J1113</f>
        <v>420996335.39999998</v>
      </c>
      <c r="K1131" s="490"/>
      <c r="L1131" s="468">
        <f>L1130+L1113</f>
        <v>411905465.82000005</v>
      </c>
      <c r="M1131" s="114">
        <f>M1130+M1113</f>
        <v>469744653.17000008</v>
      </c>
      <c r="N1131" s="114">
        <f>N1130+N1113</f>
        <v>487211580.82850003</v>
      </c>
    </row>
    <row r="1132" spans="1:14" s="20" customFormat="1" ht="21">
      <c r="A1132" s="252"/>
      <c r="B1132" s="443"/>
      <c r="C1132" s="228"/>
      <c r="D1132" s="229"/>
      <c r="E1132" s="230"/>
      <c r="F1132" s="215"/>
      <c r="G1132" s="296"/>
      <c r="H1132" s="296"/>
      <c r="I1132" s="296"/>
      <c r="J1132" s="28"/>
      <c r="K1132" s="488"/>
      <c r="L1132" s="468"/>
      <c r="M1132" s="296"/>
      <c r="N1132" s="296"/>
    </row>
    <row r="1133" spans="1:14" s="20" customFormat="1">
      <c r="A1133" s="238" t="s">
        <v>1791</v>
      </c>
      <c r="B1133" s="231" t="s">
        <v>105</v>
      </c>
      <c r="C1133" s="32" t="s">
        <v>46</v>
      </c>
      <c r="D1133" s="77">
        <v>21010101</v>
      </c>
      <c r="E1133" s="135" t="s">
        <v>725</v>
      </c>
      <c r="F1133" s="136">
        <v>102853014</v>
      </c>
      <c r="G1133" s="28">
        <v>102853014</v>
      </c>
      <c r="H1133" s="28"/>
      <c r="I1133" s="28"/>
      <c r="J1133" s="28">
        <v>102853014</v>
      </c>
      <c r="K1133" s="488"/>
      <c r="L1133" s="467">
        <v>102853014</v>
      </c>
      <c r="M1133" s="28">
        <f>G1133*10%+G1133</f>
        <v>113138315.40000001</v>
      </c>
      <c r="N1133" s="28">
        <f>M1133*10%+M1133</f>
        <v>124452146.94000001</v>
      </c>
    </row>
    <row r="1134" spans="1:14" s="20" customFormat="1">
      <c r="A1134" s="238"/>
      <c r="B1134" s="231"/>
      <c r="C1134" s="30" t="s">
        <v>1836</v>
      </c>
      <c r="D1134" s="23"/>
      <c r="E1134" s="25"/>
      <c r="F1134" s="137">
        <f>SUM(F1133)</f>
        <v>102853014</v>
      </c>
      <c r="G1134" s="114">
        <f>SUM(G1133)</f>
        <v>102853014</v>
      </c>
      <c r="H1134" s="114">
        <f t="shared" ref="H1134:I1134" si="211">SUM(H1133)</f>
        <v>0</v>
      </c>
      <c r="I1134" s="114">
        <f t="shared" si="211"/>
        <v>0</v>
      </c>
      <c r="J1134" s="114">
        <f>SUM(J1133)</f>
        <v>102853014</v>
      </c>
      <c r="K1134" s="490"/>
      <c r="L1134" s="468">
        <f>SUM(L1133)</f>
        <v>102853014</v>
      </c>
      <c r="M1134" s="114">
        <f>SUM(M1133)</f>
        <v>113138315.40000001</v>
      </c>
      <c r="N1134" s="114">
        <f>SUM(N1133)</f>
        <v>124452146.94000001</v>
      </c>
    </row>
    <row r="1135" spans="1:14" s="20" customFormat="1">
      <c r="A1135" s="253"/>
      <c r="B1135" s="231"/>
      <c r="C1135" s="32" t="s">
        <v>47</v>
      </c>
      <c r="D1135" s="77">
        <v>22020102</v>
      </c>
      <c r="E1135" s="135" t="s">
        <v>956</v>
      </c>
      <c r="F1135" s="136">
        <v>1080000</v>
      </c>
      <c r="G1135" s="28">
        <v>1080000</v>
      </c>
      <c r="H1135" s="28"/>
      <c r="I1135" s="28"/>
      <c r="J1135" s="28">
        <v>1080000</v>
      </c>
      <c r="K1135" s="488">
        <f>J1135*4.38%</f>
        <v>47304</v>
      </c>
      <c r="L1135" s="469">
        <v>1032696</v>
      </c>
      <c r="M1135" s="28">
        <v>1080000</v>
      </c>
      <c r="N1135" s="28">
        <v>1080000</v>
      </c>
    </row>
    <row r="1136" spans="1:14" s="20" customFormat="1">
      <c r="A1136" s="253"/>
      <c r="B1136" s="231"/>
      <c r="C1136" s="32" t="s">
        <v>47</v>
      </c>
      <c r="D1136" s="77">
        <v>22020105</v>
      </c>
      <c r="E1136" s="135" t="s">
        <v>1733</v>
      </c>
      <c r="F1136" s="136">
        <v>1656000</v>
      </c>
      <c r="G1136" s="28">
        <v>1656000</v>
      </c>
      <c r="H1136" s="28"/>
      <c r="I1136" s="28"/>
      <c r="J1136" s="28">
        <v>1656000</v>
      </c>
      <c r="K1136" s="488">
        <f t="shared" ref="K1136:K1148" si="212">J1136*4.38%</f>
        <v>72532.800000000003</v>
      </c>
      <c r="L1136" s="469">
        <v>1583467.2000000002</v>
      </c>
      <c r="M1136" s="28">
        <v>1656000</v>
      </c>
      <c r="N1136" s="28">
        <v>1656000</v>
      </c>
    </row>
    <row r="1137" spans="1:14" s="20" customFormat="1">
      <c r="A1137" s="253"/>
      <c r="B1137" s="231"/>
      <c r="C1137" s="32" t="s">
        <v>47</v>
      </c>
      <c r="D1137" s="77">
        <v>22020108</v>
      </c>
      <c r="E1137" s="135" t="s">
        <v>812</v>
      </c>
      <c r="F1137" s="136">
        <v>8730000</v>
      </c>
      <c r="G1137" s="28">
        <v>8730000</v>
      </c>
      <c r="H1137" s="28"/>
      <c r="I1137" s="28"/>
      <c r="J1137" s="28">
        <v>8730000</v>
      </c>
      <c r="K1137" s="488">
        <f t="shared" si="212"/>
        <v>382374</v>
      </c>
      <c r="L1137" s="469">
        <v>8347626</v>
      </c>
      <c r="M1137" s="28">
        <v>8730000</v>
      </c>
      <c r="N1137" s="28">
        <v>8730000</v>
      </c>
    </row>
    <row r="1138" spans="1:14" s="20" customFormat="1">
      <c r="A1138" s="253"/>
      <c r="B1138" s="231"/>
      <c r="C1138" s="32" t="s">
        <v>47</v>
      </c>
      <c r="D1138" s="77">
        <v>22020301</v>
      </c>
      <c r="E1138" s="135" t="s">
        <v>737</v>
      </c>
      <c r="F1138" s="136">
        <v>484000</v>
      </c>
      <c r="G1138" s="28">
        <v>484000</v>
      </c>
      <c r="H1138" s="28"/>
      <c r="I1138" s="28"/>
      <c r="J1138" s="28">
        <v>484000</v>
      </c>
      <c r="K1138" s="488">
        <f t="shared" si="212"/>
        <v>21199.200000000001</v>
      </c>
      <c r="L1138" s="469">
        <v>462800.80000000005</v>
      </c>
      <c r="M1138" s="28">
        <v>484000</v>
      </c>
      <c r="N1138" s="28">
        <v>484000</v>
      </c>
    </row>
    <row r="1139" spans="1:14" s="20" customFormat="1">
      <c r="A1139" s="253"/>
      <c r="B1139" s="231"/>
      <c r="C1139" s="32" t="s">
        <v>47</v>
      </c>
      <c r="D1139" s="77">
        <v>22020305</v>
      </c>
      <c r="E1139" s="135" t="s">
        <v>755</v>
      </c>
      <c r="F1139" s="136">
        <v>1700000</v>
      </c>
      <c r="G1139" s="28">
        <v>2700000</v>
      </c>
      <c r="H1139" s="28"/>
      <c r="I1139" s="28"/>
      <c r="J1139" s="28">
        <v>2700000</v>
      </c>
      <c r="K1139" s="488">
        <f t="shared" si="212"/>
        <v>118260</v>
      </c>
      <c r="L1139" s="469">
        <v>2581740</v>
      </c>
      <c r="M1139" s="28">
        <v>1700000</v>
      </c>
      <c r="N1139" s="28">
        <v>1700000</v>
      </c>
    </row>
    <row r="1140" spans="1:14" s="20" customFormat="1">
      <c r="A1140" s="253"/>
      <c r="B1140" s="231"/>
      <c r="C1140" s="32" t="s">
        <v>47</v>
      </c>
      <c r="D1140" s="77">
        <v>22020308</v>
      </c>
      <c r="E1140" s="135" t="s">
        <v>756</v>
      </c>
      <c r="F1140" s="136">
        <v>262500</v>
      </c>
      <c r="G1140" s="28">
        <v>262500</v>
      </c>
      <c r="H1140" s="28"/>
      <c r="I1140" s="28"/>
      <c r="J1140" s="28">
        <v>262500</v>
      </c>
      <c r="K1140" s="488">
        <f t="shared" si="212"/>
        <v>11497.5</v>
      </c>
      <c r="L1140" s="469">
        <v>251002.5</v>
      </c>
      <c r="M1140" s="28">
        <v>262500</v>
      </c>
      <c r="N1140" s="28">
        <v>262500</v>
      </c>
    </row>
    <row r="1141" spans="1:14" s="20" customFormat="1">
      <c r="A1141" s="253"/>
      <c r="B1141" s="231"/>
      <c r="C1141" s="32" t="s">
        <v>47</v>
      </c>
      <c r="D1141" s="77">
        <v>22020401</v>
      </c>
      <c r="E1141" s="135" t="s">
        <v>741</v>
      </c>
      <c r="F1141" s="136">
        <v>840000</v>
      </c>
      <c r="G1141" s="28">
        <v>840000</v>
      </c>
      <c r="H1141" s="28"/>
      <c r="I1141" s="28"/>
      <c r="J1141" s="28">
        <v>840000</v>
      </c>
      <c r="K1141" s="488">
        <f t="shared" si="212"/>
        <v>36792</v>
      </c>
      <c r="L1141" s="469">
        <v>803208</v>
      </c>
      <c r="M1141" s="28">
        <v>840000</v>
      </c>
      <c r="N1141" s="28">
        <v>840000</v>
      </c>
    </row>
    <row r="1142" spans="1:14" s="20" customFormat="1">
      <c r="A1142" s="253"/>
      <c r="B1142" s="231"/>
      <c r="C1142" s="32" t="s">
        <v>47</v>
      </c>
      <c r="D1142" s="77">
        <v>22020405</v>
      </c>
      <c r="E1142" s="135" t="s">
        <v>743</v>
      </c>
      <c r="F1142" s="136">
        <v>2052500</v>
      </c>
      <c r="G1142" s="28">
        <v>2052500</v>
      </c>
      <c r="H1142" s="28"/>
      <c r="I1142" s="28"/>
      <c r="J1142" s="28">
        <v>2052500</v>
      </c>
      <c r="K1142" s="488">
        <f t="shared" si="212"/>
        <v>89899.5</v>
      </c>
      <c r="L1142" s="469">
        <v>1962600.5</v>
      </c>
      <c r="M1142" s="28">
        <v>2052500</v>
      </c>
      <c r="N1142" s="28">
        <v>2052500</v>
      </c>
    </row>
    <row r="1143" spans="1:14" s="20" customFormat="1">
      <c r="A1143" s="253"/>
      <c r="B1143" s="231"/>
      <c r="C1143" s="32" t="s">
        <v>47</v>
      </c>
      <c r="D1143" s="77">
        <v>22020605</v>
      </c>
      <c r="E1143" s="135" t="s">
        <v>768</v>
      </c>
      <c r="F1143" s="136">
        <v>930000</v>
      </c>
      <c r="G1143" s="28">
        <v>0</v>
      </c>
      <c r="H1143" s="28"/>
      <c r="I1143" s="28"/>
      <c r="J1143" s="28">
        <v>0</v>
      </c>
      <c r="K1143" s="488">
        <f t="shared" si="212"/>
        <v>0</v>
      </c>
      <c r="L1143" s="469">
        <v>0</v>
      </c>
      <c r="M1143" s="28">
        <v>930000</v>
      </c>
      <c r="N1143" s="28">
        <v>930000</v>
      </c>
    </row>
    <row r="1144" spans="1:14" s="20" customFormat="1">
      <c r="A1144" s="253"/>
      <c r="B1144" s="231"/>
      <c r="C1144" s="32" t="s">
        <v>47</v>
      </c>
      <c r="D1144" s="77">
        <v>22020709</v>
      </c>
      <c r="E1144" s="135" t="s">
        <v>771</v>
      </c>
      <c r="F1144" s="136">
        <v>500000</v>
      </c>
      <c r="G1144" s="28">
        <v>500000</v>
      </c>
      <c r="H1144" s="28"/>
      <c r="I1144" s="28"/>
      <c r="J1144" s="28">
        <v>500000</v>
      </c>
      <c r="K1144" s="488">
        <f t="shared" si="212"/>
        <v>21900</v>
      </c>
      <c r="L1144" s="469">
        <v>478100</v>
      </c>
      <c r="M1144" s="28">
        <v>500000</v>
      </c>
      <c r="N1144" s="28">
        <v>500000</v>
      </c>
    </row>
    <row r="1145" spans="1:14" s="20" customFormat="1">
      <c r="A1145" s="253"/>
      <c r="B1145" s="231"/>
      <c r="C1145" s="32" t="s">
        <v>47</v>
      </c>
      <c r="D1145" s="77">
        <v>22020801</v>
      </c>
      <c r="E1145" s="135" t="s">
        <v>747</v>
      </c>
      <c r="F1145" s="136">
        <v>1740000</v>
      </c>
      <c r="G1145" s="28">
        <v>1740000</v>
      </c>
      <c r="H1145" s="28"/>
      <c r="I1145" s="28"/>
      <c r="J1145" s="28">
        <v>1740000</v>
      </c>
      <c r="K1145" s="488">
        <f t="shared" si="212"/>
        <v>76212</v>
      </c>
      <c r="L1145" s="469">
        <v>1663788</v>
      </c>
      <c r="M1145" s="28">
        <v>1740000</v>
      </c>
      <c r="N1145" s="28">
        <v>1740000</v>
      </c>
    </row>
    <row r="1146" spans="1:14" s="20" customFormat="1">
      <c r="A1146" s="253"/>
      <c r="B1146" s="231"/>
      <c r="C1146" s="32" t="s">
        <v>47</v>
      </c>
      <c r="D1146" s="77">
        <v>22020901</v>
      </c>
      <c r="E1146" s="135" t="s">
        <v>749</v>
      </c>
      <c r="F1146" s="136">
        <v>20000</v>
      </c>
      <c r="G1146" s="28">
        <v>20000</v>
      </c>
      <c r="H1146" s="28"/>
      <c r="I1146" s="28"/>
      <c r="J1146" s="28">
        <v>20000</v>
      </c>
      <c r="K1146" s="488">
        <f t="shared" si="212"/>
        <v>876</v>
      </c>
      <c r="L1146" s="469">
        <v>19124</v>
      </c>
      <c r="M1146" s="28">
        <v>120000</v>
      </c>
      <c r="N1146" s="28">
        <v>120000</v>
      </c>
    </row>
    <row r="1147" spans="1:14" s="20" customFormat="1">
      <c r="A1147" s="253"/>
      <c r="B1147" s="231"/>
      <c r="C1147" s="32" t="s">
        <v>47</v>
      </c>
      <c r="D1147" s="77">
        <v>22021001</v>
      </c>
      <c r="E1147" s="135" t="s">
        <v>772</v>
      </c>
      <c r="F1147" s="136">
        <v>320000</v>
      </c>
      <c r="G1147" s="28">
        <v>320000</v>
      </c>
      <c r="H1147" s="28"/>
      <c r="I1147" s="28"/>
      <c r="J1147" s="28">
        <v>320000</v>
      </c>
      <c r="K1147" s="488">
        <f t="shared" si="212"/>
        <v>14016</v>
      </c>
      <c r="L1147" s="469">
        <v>305984</v>
      </c>
      <c r="M1147" s="28">
        <v>320000</v>
      </c>
      <c r="N1147" s="28">
        <v>320000</v>
      </c>
    </row>
    <row r="1148" spans="1:14" s="20" customFormat="1">
      <c r="A1148" s="253"/>
      <c r="B1148" s="231"/>
      <c r="C1148" s="32" t="s">
        <v>47</v>
      </c>
      <c r="D1148" s="77">
        <v>22021003</v>
      </c>
      <c r="E1148" s="135" t="s">
        <v>760</v>
      </c>
      <c r="F1148" s="136">
        <v>60000</v>
      </c>
      <c r="G1148" s="28">
        <v>60000</v>
      </c>
      <c r="H1148" s="28"/>
      <c r="I1148" s="28"/>
      <c r="J1148" s="28">
        <v>60000</v>
      </c>
      <c r="K1148" s="488">
        <f t="shared" si="212"/>
        <v>2628</v>
      </c>
      <c r="L1148" s="469">
        <v>57372</v>
      </c>
      <c r="M1148" s="28">
        <v>60000</v>
      </c>
      <c r="N1148" s="28">
        <v>60000</v>
      </c>
    </row>
    <row r="1149" spans="1:14" s="20" customFormat="1">
      <c r="A1149" s="238"/>
      <c r="B1149" s="231"/>
      <c r="C1149" s="30" t="s">
        <v>1839</v>
      </c>
      <c r="D1149" s="23"/>
      <c r="E1149" s="25"/>
      <c r="F1149" s="137">
        <f>SUM(F1135:F1148)</f>
        <v>20375000</v>
      </c>
      <c r="G1149" s="114">
        <f>SUM(G1135:G1148)</f>
        <v>20445000</v>
      </c>
      <c r="H1149" s="114">
        <f t="shared" ref="H1149:I1149" si="213">SUM(H1135:H1148)</f>
        <v>0</v>
      </c>
      <c r="I1149" s="114">
        <f t="shared" si="213"/>
        <v>0</v>
      </c>
      <c r="J1149" s="114">
        <f>SUM(J1135:J1148)</f>
        <v>20445000</v>
      </c>
      <c r="K1149" s="490">
        <f>SUM(K1135:K1148)</f>
        <v>895491</v>
      </c>
      <c r="L1149" s="468">
        <f>SUM(L1135:L1148)</f>
        <v>19549509</v>
      </c>
      <c r="M1149" s="114">
        <f>SUM(M1135:M1148)</f>
        <v>20475000</v>
      </c>
      <c r="N1149" s="114">
        <f>SUM(N1135:N1148)</f>
        <v>20475000</v>
      </c>
    </row>
    <row r="1150" spans="1:14" s="66" customFormat="1" ht="30">
      <c r="A1150" s="238" t="s">
        <v>1791</v>
      </c>
      <c r="B1150" s="231" t="s">
        <v>1884</v>
      </c>
      <c r="C1150" s="30"/>
      <c r="D1150" s="23"/>
      <c r="E1150" s="25"/>
      <c r="F1150" s="137">
        <f>F1149+F1134</f>
        <v>123228014</v>
      </c>
      <c r="G1150" s="114">
        <f>G1149+G1134</f>
        <v>123298014</v>
      </c>
      <c r="H1150" s="114">
        <f t="shared" ref="H1150:I1150" si="214">H1149+H1134</f>
        <v>0</v>
      </c>
      <c r="I1150" s="114">
        <f t="shared" si="214"/>
        <v>0</v>
      </c>
      <c r="J1150" s="114">
        <f>J1149+J1134</f>
        <v>123298014</v>
      </c>
      <c r="K1150" s="490"/>
      <c r="L1150" s="468">
        <f>L1149+L1134</f>
        <v>122402523</v>
      </c>
      <c r="M1150" s="114">
        <f>M1149+M1134</f>
        <v>133613315.40000001</v>
      </c>
      <c r="N1150" s="114">
        <f>N1149+N1134</f>
        <v>144927146.94</v>
      </c>
    </row>
    <row r="1151" spans="1:14" s="20" customFormat="1" ht="21">
      <c r="A1151" s="252"/>
      <c r="B1151" s="443"/>
      <c r="C1151" s="228"/>
      <c r="D1151" s="229"/>
      <c r="E1151" s="230"/>
      <c r="F1151" s="215"/>
      <c r="G1151" s="296"/>
      <c r="H1151" s="296"/>
      <c r="I1151" s="296"/>
      <c r="J1151" s="28"/>
      <c r="K1151" s="488"/>
      <c r="L1151" s="468"/>
      <c r="M1151" s="296"/>
      <c r="N1151" s="296"/>
    </row>
    <row r="1152" spans="1:14" s="20" customFormat="1">
      <c r="A1152" s="238" t="s">
        <v>957</v>
      </c>
      <c r="B1152" s="231" t="s">
        <v>116</v>
      </c>
      <c r="C1152" s="32" t="s">
        <v>46</v>
      </c>
      <c r="D1152" s="77">
        <v>21010101</v>
      </c>
      <c r="E1152" s="135" t="s">
        <v>725</v>
      </c>
      <c r="F1152" s="136">
        <v>54145945.969999999</v>
      </c>
      <c r="G1152" s="28">
        <v>54145945.969999999</v>
      </c>
      <c r="H1152" s="28"/>
      <c r="I1152" s="28"/>
      <c r="J1152" s="28">
        <v>54145945.969999999</v>
      </c>
      <c r="K1152" s="488"/>
      <c r="L1152" s="467">
        <v>54145945.969999999</v>
      </c>
      <c r="M1152" s="297">
        <f>G1152*10%+G1152</f>
        <v>59560540.567000002</v>
      </c>
      <c r="N1152" s="297">
        <f>M1152*10%+M1152</f>
        <v>65516594.6237</v>
      </c>
    </row>
    <row r="1153" spans="1:14" s="20" customFormat="1">
      <c r="A1153" s="238"/>
      <c r="B1153" s="231"/>
      <c r="C1153" s="30" t="s">
        <v>1836</v>
      </c>
      <c r="D1153" s="23"/>
      <c r="E1153" s="25"/>
      <c r="F1153" s="137">
        <f>SUM(F1152)</f>
        <v>54145945.969999999</v>
      </c>
      <c r="G1153" s="114">
        <f>SUM(G1152)</f>
        <v>54145945.969999999</v>
      </c>
      <c r="H1153" s="114">
        <f t="shared" ref="H1153:I1153" si="215">SUM(H1152)</f>
        <v>0</v>
      </c>
      <c r="I1153" s="114">
        <f t="shared" si="215"/>
        <v>0</v>
      </c>
      <c r="J1153" s="114">
        <f>SUM(J1152)</f>
        <v>54145945.969999999</v>
      </c>
      <c r="K1153" s="490"/>
      <c r="L1153" s="468">
        <f>SUM(L1152)</f>
        <v>54145945.969999999</v>
      </c>
      <c r="M1153" s="114">
        <f>SUM(M1152)</f>
        <v>59560540.567000002</v>
      </c>
      <c r="N1153" s="114">
        <f>SUM(N1152)</f>
        <v>65516594.6237</v>
      </c>
    </row>
    <row r="1154" spans="1:14" s="20" customFormat="1">
      <c r="A1154" s="253"/>
      <c r="B1154" s="231"/>
      <c r="C1154" s="32" t="s">
        <v>47</v>
      </c>
      <c r="D1154" s="77">
        <v>22020105</v>
      </c>
      <c r="E1154" s="135" t="s">
        <v>1733</v>
      </c>
      <c r="F1154" s="136">
        <v>3158000</v>
      </c>
      <c r="G1154" s="28">
        <v>3158000</v>
      </c>
      <c r="H1154" s="28"/>
      <c r="I1154" s="28"/>
      <c r="J1154" s="28">
        <v>3158000</v>
      </c>
      <c r="K1154" s="488">
        <f>J1154*4.38%</f>
        <v>138320.4</v>
      </c>
      <c r="L1154" s="469">
        <v>3019679.6</v>
      </c>
      <c r="M1154" s="28">
        <v>4158000</v>
      </c>
      <c r="N1154" s="28">
        <v>4158000</v>
      </c>
    </row>
    <row r="1155" spans="1:14" s="20" customFormat="1">
      <c r="A1155" s="253"/>
      <c r="B1155" s="231"/>
      <c r="C1155" s="32" t="s">
        <v>47</v>
      </c>
      <c r="D1155" s="77">
        <v>22020301</v>
      </c>
      <c r="E1155" s="135" t="s">
        <v>737</v>
      </c>
      <c r="F1155" s="136">
        <v>2707300</v>
      </c>
      <c r="G1155" s="28">
        <v>1707300</v>
      </c>
      <c r="H1155" s="28"/>
      <c r="I1155" s="28"/>
      <c r="J1155" s="28">
        <v>1707300</v>
      </c>
      <c r="K1155" s="488">
        <f t="shared" ref="K1155:K1162" si="216">J1155*4.38%</f>
        <v>74779.739999999991</v>
      </c>
      <c r="L1155" s="469">
        <v>1632520.26</v>
      </c>
      <c r="M1155" s="28">
        <v>2707300</v>
      </c>
      <c r="N1155" s="28">
        <v>2707300</v>
      </c>
    </row>
    <row r="1156" spans="1:14" s="20" customFormat="1">
      <c r="A1156" s="253"/>
      <c r="B1156" s="231"/>
      <c r="C1156" s="32" t="s">
        <v>47</v>
      </c>
      <c r="D1156" s="77">
        <v>22020401</v>
      </c>
      <c r="E1156" s="135" t="s">
        <v>741</v>
      </c>
      <c r="F1156" s="136">
        <v>1068000</v>
      </c>
      <c r="G1156" s="28">
        <v>1068000</v>
      </c>
      <c r="H1156" s="28"/>
      <c r="I1156" s="28"/>
      <c r="J1156" s="28">
        <v>1068000</v>
      </c>
      <c r="K1156" s="488">
        <f t="shared" si="216"/>
        <v>46778.400000000001</v>
      </c>
      <c r="L1156" s="469">
        <v>1021221.6000000001</v>
      </c>
      <c r="M1156" s="28">
        <v>1128000</v>
      </c>
      <c r="N1156" s="28">
        <v>1212000</v>
      </c>
    </row>
    <row r="1157" spans="1:14" s="20" customFormat="1">
      <c r="A1157" s="253"/>
      <c r="B1157" s="231"/>
      <c r="C1157" s="32" t="s">
        <v>47</v>
      </c>
      <c r="D1157" s="77">
        <v>22020402</v>
      </c>
      <c r="E1157" s="135" t="s">
        <v>757</v>
      </c>
      <c r="F1157" s="136">
        <v>440000</v>
      </c>
      <c r="G1157" s="28">
        <v>440000</v>
      </c>
      <c r="H1157" s="28"/>
      <c r="I1157" s="28"/>
      <c r="J1157" s="28">
        <v>440000</v>
      </c>
      <c r="K1157" s="488">
        <f t="shared" si="216"/>
        <v>19272</v>
      </c>
      <c r="L1157" s="469">
        <v>420728</v>
      </c>
      <c r="M1157" s="28">
        <v>880000</v>
      </c>
      <c r="N1157" s="28">
        <v>880000</v>
      </c>
    </row>
    <row r="1158" spans="1:14" s="20" customFormat="1">
      <c r="A1158" s="253"/>
      <c r="B1158" s="231"/>
      <c r="C1158" s="32" t="s">
        <v>47</v>
      </c>
      <c r="D1158" s="77">
        <v>22020801</v>
      </c>
      <c r="E1158" s="135" t="s">
        <v>747</v>
      </c>
      <c r="F1158" s="136">
        <v>4883600</v>
      </c>
      <c r="G1158" s="28">
        <v>3883600</v>
      </c>
      <c r="H1158" s="28"/>
      <c r="I1158" s="28"/>
      <c r="J1158" s="28">
        <v>3883600</v>
      </c>
      <c r="K1158" s="488">
        <f t="shared" si="216"/>
        <v>170101.68</v>
      </c>
      <c r="L1158" s="469">
        <v>3713498.3200000003</v>
      </c>
      <c r="M1158" s="28">
        <v>4883600</v>
      </c>
      <c r="N1158" s="28">
        <v>5266400</v>
      </c>
    </row>
    <row r="1159" spans="1:14" s="20" customFormat="1">
      <c r="A1159" s="253"/>
      <c r="B1159" s="231"/>
      <c r="C1159" s="32" t="s">
        <v>47</v>
      </c>
      <c r="D1159" s="77">
        <v>22020901</v>
      </c>
      <c r="E1159" s="135" t="s">
        <v>749</v>
      </c>
      <c r="F1159" s="136">
        <v>50000</v>
      </c>
      <c r="G1159" s="28">
        <v>50000</v>
      </c>
      <c r="H1159" s="28"/>
      <c r="I1159" s="28"/>
      <c r="J1159" s="28">
        <v>50000</v>
      </c>
      <c r="K1159" s="488">
        <f t="shared" si="216"/>
        <v>2190</v>
      </c>
      <c r="L1159" s="469">
        <v>47810</v>
      </c>
      <c r="M1159" s="28">
        <v>0</v>
      </c>
      <c r="N1159" s="28">
        <v>0</v>
      </c>
    </row>
    <row r="1160" spans="1:14" s="20" customFormat="1">
      <c r="A1160" s="253"/>
      <c r="B1160" s="231"/>
      <c r="C1160" s="32" t="s">
        <v>47</v>
      </c>
      <c r="D1160" s="77">
        <v>22021001</v>
      </c>
      <c r="E1160" s="135" t="s">
        <v>772</v>
      </c>
      <c r="F1160" s="136">
        <v>800000</v>
      </c>
      <c r="G1160" s="28">
        <v>800000</v>
      </c>
      <c r="H1160" s="28"/>
      <c r="I1160" s="28"/>
      <c r="J1160" s="28">
        <v>800000</v>
      </c>
      <c r="K1160" s="488">
        <f t="shared" si="216"/>
        <v>35040</v>
      </c>
      <c r="L1160" s="469">
        <v>764960</v>
      </c>
      <c r="M1160" s="28">
        <v>1185000</v>
      </c>
      <c r="N1160" s="28">
        <v>1185000</v>
      </c>
    </row>
    <row r="1161" spans="1:14" s="20" customFormat="1">
      <c r="A1161" s="253"/>
      <c r="B1161" s="231"/>
      <c r="C1161" s="32" t="s">
        <v>47</v>
      </c>
      <c r="D1161" s="77">
        <v>22021003</v>
      </c>
      <c r="E1161" s="135" t="s">
        <v>760</v>
      </c>
      <c r="F1161" s="136">
        <v>500000</v>
      </c>
      <c r="G1161" s="28">
        <v>500000</v>
      </c>
      <c r="H1161" s="28"/>
      <c r="I1161" s="28"/>
      <c r="J1161" s="28">
        <v>500000</v>
      </c>
      <c r="K1161" s="488">
        <f t="shared" si="216"/>
        <v>21900</v>
      </c>
      <c r="L1161" s="469">
        <v>478100</v>
      </c>
      <c r="M1161" s="28">
        <v>5250000</v>
      </c>
      <c r="N1161" s="28">
        <v>5250000</v>
      </c>
    </row>
    <row r="1162" spans="1:14" s="20" customFormat="1">
      <c r="A1162" s="253"/>
      <c r="B1162" s="231"/>
      <c r="C1162" s="32" t="s">
        <v>47</v>
      </c>
      <c r="D1162" s="77">
        <v>22021021</v>
      </c>
      <c r="E1162" s="135" t="s">
        <v>832</v>
      </c>
      <c r="F1162" s="136">
        <v>3624000</v>
      </c>
      <c r="G1162" s="28">
        <v>3624000</v>
      </c>
      <c r="H1162" s="28"/>
      <c r="I1162" s="28"/>
      <c r="J1162" s="28">
        <v>3624000</v>
      </c>
      <c r="K1162" s="488">
        <f t="shared" si="216"/>
        <v>158731.19999999998</v>
      </c>
      <c r="L1162" s="469">
        <v>3465268.8000000003</v>
      </c>
      <c r="M1162" s="28"/>
      <c r="N1162" s="28"/>
    </row>
    <row r="1163" spans="1:14" s="20" customFormat="1">
      <c r="A1163" s="238"/>
      <c r="B1163" s="231"/>
      <c r="C1163" s="30" t="s">
        <v>1837</v>
      </c>
      <c r="D1163" s="23"/>
      <c r="E1163" s="25"/>
      <c r="F1163" s="137">
        <f>SUM(F1154:F1162)</f>
        <v>17230900</v>
      </c>
      <c r="G1163" s="114">
        <f>SUM(G1154:G1162)</f>
        <v>15230900</v>
      </c>
      <c r="H1163" s="114">
        <f t="shared" ref="H1163:I1163" si="217">SUM(H1154:H1162)</f>
        <v>0</v>
      </c>
      <c r="I1163" s="114">
        <f t="shared" si="217"/>
        <v>0</v>
      </c>
      <c r="J1163" s="114">
        <f>SUM(J1154:J1162)</f>
        <v>15230900</v>
      </c>
      <c r="K1163" s="490">
        <f>SUM(K1154:K1162)</f>
        <v>667113.41999999993</v>
      </c>
      <c r="L1163" s="468">
        <f>SUM(L1154:L1162)</f>
        <v>14563786.580000002</v>
      </c>
      <c r="M1163" s="114">
        <f>SUM(M1154:M1161)</f>
        <v>20191900</v>
      </c>
      <c r="N1163" s="114">
        <f>SUM(N1154:N1161)</f>
        <v>20658700</v>
      </c>
    </row>
    <row r="1164" spans="1:14" s="66" customFormat="1">
      <c r="A1164" s="238" t="s">
        <v>957</v>
      </c>
      <c r="B1164" s="231" t="s">
        <v>1885</v>
      </c>
      <c r="C1164" s="30"/>
      <c r="D1164" s="23"/>
      <c r="E1164" s="25"/>
      <c r="F1164" s="137">
        <f>F1163+F1153</f>
        <v>71376845.969999999</v>
      </c>
      <c r="G1164" s="114">
        <f>G1163+G1153</f>
        <v>69376845.969999999</v>
      </c>
      <c r="H1164" s="114">
        <f t="shared" ref="H1164:I1164" si="218">H1163+H1153</f>
        <v>0</v>
      </c>
      <c r="I1164" s="114">
        <f t="shared" si="218"/>
        <v>0</v>
      </c>
      <c r="J1164" s="114">
        <f>J1163+J1153</f>
        <v>69376845.969999999</v>
      </c>
      <c r="K1164" s="490"/>
      <c r="L1164" s="468">
        <f>L1163+L1153</f>
        <v>68709732.549999997</v>
      </c>
      <c r="M1164" s="114">
        <f>M1163+M1153</f>
        <v>79752440.567000002</v>
      </c>
      <c r="N1164" s="114">
        <f>N1163+N1153</f>
        <v>86175294.623699993</v>
      </c>
    </row>
    <row r="1165" spans="1:14" s="20" customFormat="1" ht="21">
      <c r="A1165" s="252"/>
      <c r="B1165" s="443"/>
      <c r="C1165" s="228"/>
      <c r="D1165" s="229"/>
      <c r="E1165" s="230"/>
      <c r="F1165" s="215"/>
      <c r="G1165" s="296"/>
      <c r="H1165" s="296"/>
      <c r="I1165" s="296"/>
      <c r="J1165" s="28"/>
      <c r="K1165" s="488"/>
      <c r="L1165" s="468"/>
      <c r="M1165" s="296"/>
      <c r="N1165" s="296"/>
    </row>
    <row r="1166" spans="1:14" s="20" customFormat="1" ht="30">
      <c r="A1166" s="238" t="s">
        <v>959</v>
      </c>
      <c r="B1166" s="231" t="s">
        <v>958</v>
      </c>
      <c r="C1166" s="32" t="s">
        <v>46</v>
      </c>
      <c r="D1166" s="77">
        <v>21010101</v>
      </c>
      <c r="E1166" s="135" t="s">
        <v>725</v>
      </c>
      <c r="F1166" s="136">
        <v>11159357.16</v>
      </c>
      <c r="G1166" s="28">
        <v>11159357.16</v>
      </c>
      <c r="H1166" s="28"/>
      <c r="I1166" s="28"/>
      <c r="J1166" s="28">
        <v>11159357.16</v>
      </c>
      <c r="K1166" s="488"/>
      <c r="L1166" s="467">
        <v>11159357.16</v>
      </c>
      <c r="M1166" s="28">
        <f t="shared" ref="M1166:M1173" si="219">G1166*10%+G1166</f>
        <v>12275292.876</v>
      </c>
      <c r="N1166" s="28">
        <f>M1166*10%+M1166</f>
        <v>13502822.1636</v>
      </c>
    </row>
    <row r="1167" spans="1:14" s="20" customFormat="1">
      <c r="A1167" s="253"/>
      <c r="B1167" s="231"/>
      <c r="C1167" s="32" t="s">
        <v>46</v>
      </c>
      <c r="D1167" s="77">
        <v>21020101</v>
      </c>
      <c r="E1167" s="135" t="s">
        <v>726</v>
      </c>
      <c r="F1167" s="136">
        <v>2299137.84</v>
      </c>
      <c r="G1167" s="28">
        <v>2299137.84</v>
      </c>
      <c r="H1167" s="28"/>
      <c r="I1167" s="28"/>
      <c r="J1167" s="28">
        <v>2299137.84</v>
      </c>
      <c r="K1167" s="488"/>
      <c r="L1167" s="467">
        <v>2299137.84</v>
      </c>
      <c r="M1167" s="28">
        <f t="shared" si="219"/>
        <v>2529051.6239999998</v>
      </c>
      <c r="N1167" s="28">
        <f t="shared" ref="N1167:N1173" si="220">M1167*10%+M1167</f>
        <v>2781956.7863999996</v>
      </c>
    </row>
    <row r="1168" spans="1:14" s="20" customFormat="1">
      <c r="A1168" s="253"/>
      <c r="B1168" s="231"/>
      <c r="C1168" s="32" t="s">
        <v>46</v>
      </c>
      <c r="D1168" s="77">
        <v>21020102</v>
      </c>
      <c r="E1168" s="135" t="s">
        <v>727</v>
      </c>
      <c r="F1168" s="136">
        <v>921662.28</v>
      </c>
      <c r="G1168" s="28">
        <v>921662.28</v>
      </c>
      <c r="H1168" s="28"/>
      <c r="I1168" s="28"/>
      <c r="J1168" s="28">
        <v>921662.28</v>
      </c>
      <c r="K1168" s="488"/>
      <c r="L1168" s="467">
        <v>921662.28</v>
      </c>
      <c r="M1168" s="28">
        <f t="shared" si="219"/>
        <v>1013828.508</v>
      </c>
      <c r="N1168" s="28">
        <f t="shared" si="220"/>
        <v>1115211.3588</v>
      </c>
    </row>
    <row r="1169" spans="1:14" s="20" customFormat="1">
      <c r="A1169" s="253"/>
      <c r="B1169" s="231"/>
      <c r="C1169" s="32" t="s">
        <v>46</v>
      </c>
      <c r="D1169" s="77">
        <v>21020103</v>
      </c>
      <c r="E1169" s="135" t="s">
        <v>728</v>
      </c>
      <c r="F1169" s="136">
        <v>460835.4</v>
      </c>
      <c r="G1169" s="28">
        <v>460835.4</v>
      </c>
      <c r="H1169" s="28"/>
      <c r="I1169" s="28"/>
      <c r="J1169" s="28">
        <v>460835.4</v>
      </c>
      <c r="K1169" s="488"/>
      <c r="L1169" s="467">
        <v>460835.4</v>
      </c>
      <c r="M1169" s="28">
        <f t="shared" si="219"/>
        <v>506918.94000000006</v>
      </c>
      <c r="N1169" s="28">
        <f t="shared" si="220"/>
        <v>557610.83400000003</v>
      </c>
    </row>
    <row r="1170" spans="1:14" s="20" customFormat="1">
      <c r="A1170" s="253"/>
      <c r="B1170" s="231"/>
      <c r="C1170" s="32" t="s">
        <v>46</v>
      </c>
      <c r="D1170" s="77">
        <v>21020104</v>
      </c>
      <c r="E1170" s="135" t="s">
        <v>729</v>
      </c>
      <c r="F1170" s="136">
        <v>460835.4</v>
      </c>
      <c r="G1170" s="28">
        <v>460835.4</v>
      </c>
      <c r="H1170" s="28"/>
      <c r="I1170" s="28"/>
      <c r="J1170" s="28">
        <v>460835.4</v>
      </c>
      <c r="K1170" s="488"/>
      <c r="L1170" s="467">
        <v>460835.4</v>
      </c>
      <c r="M1170" s="28">
        <f t="shared" si="219"/>
        <v>506918.94000000006</v>
      </c>
      <c r="N1170" s="28">
        <f t="shared" si="220"/>
        <v>557610.83400000003</v>
      </c>
    </row>
    <row r="1171" spans="1:14" s="20" customFormat="1">
      <c r="A1171" s="253"/>
      <c r="B1171" s="231"/>
      <c r="C1171" s="32" t="s">
        <v>46</v>
      </c>
      <c r="D1171" s="77">
        <v>21020105</v>
      </c>
      <c r="E1171" s="135" t="s">
        <v>730</v>
      </c>
      <c r="F1171" s="136">
        <v>37489.08</v>
      </c>
      <c r="G1171" s="28">
        <v>37489.08</v>
      </c>
      <c r="H1171" s="28"/>
      <c r="I1171" s="28"/>
      <c r="J1171" s="28">
        <v>37489.08</v>
      </c>
      <c r="K1171" s="488"/>
      <c r="L1171" s="467">
        <v>37489.08</v>
      </c>
      <c r="M1171" s="28">
        <f t="shared" si="219"/>
        <v>41237.988000000005</v>
      </c>
      <c r="N1171" s="28">
        <f t="shared" si="220"/>
        <v>45361.786800000002</v>
      </c>
    </row>
    <row r="1172" spans="1:14" s="20" customFormat="1">
      <c r="A1172" s="253"/>
      <c r="B1172" s="231"/>
      <c r="C1172" s="32" t="s">
        <v>46</v>
      </c>
      <c r="D1172" s="77">
        <v>21020106</v>
      </c>
      <c r="E1172" s="135" t="s">
        <v>731</v>
      </c>
      <c r="F1172" s="136">
        <f>1115935.77+18000</f>
        <v>1133935.77</v>
      </c>
      <c r="G1172" s="28">
        <f>1115935.77+18000</f>
        <v>1133935.77</v>
      </c>
      <c r="H1172" s="28"/>
      <c r="I1172" s="28"/>
      <c r="J1172" s="28">
        <v>1133935.77</v>
      </c>
      <c r="K1172" s="488"/>
      <c r="L1172" s="467">
        <v>1133935.77</v>
      </c>
      <c r="M1172" s="28">
        <f t="shared" si="219"/>
        <v>1247329.3470000001</v>
      </c>
      <c r="N1172" s="28">
        <f t="shared" si="220"/>
        <v>1372062.2817000002</v>
      </c>
    </row>
    <row r="1173" spans="1:14" s="20" customFormat="1">
      <c r="A1173" s="253"/>
      <c r="B1173" s="231"/>
      <c r="C1173" s="32" t="s">
        <v>46</v>
      </c>
      <c r="D1173" s="77">
        <v>21020107</v>
      </c>
      <c r="E1173" s="135" t="s">
        <v>732</v>
      </c>
      <c r="F1173" s="136">
        <v>635516.4</v>
      </c>
      <c r="G1173" s="28">
        <v>635516.4</v>
      </c>
      <c r="H1173" s="28"/>
      <c r="I1173" s="28"/>
      <c r="J1173" s="28">
        <v>635516.4</v>
      </c>
      <c r="K1173" s="488"/>
      <c r="L1173" s="467">
        <v>635516.4</v>
      </c>
      <c r="M1173" s="28">
        <f t="shared" si="219"/>
        <v>699068.04</v>
      </c>
      <c r="N1173" s="28">
        <f t="shared" si="220"/>
        <v>768974.84400000004</v>
      </c>
    </row>
    <row r="1174" spans="1:14" s="20" customFormat="1">
      <c r="A1174" s="238"/>
      <c r="B1174" s="231"/>
      <c r="C1174" s="30" t="s">
        <v>1836</v>
      </c>
      <c r="D1174" s="23"/>
      <c r="E1174" s="25"/>
      <c r="F1174" s="137">
        <f>SUM(F1166:F1173)</f>
        <v>17108769.329999998</v>
      </c>
      <c r="G1174" s="114">
        <f>SUM(G1166:G1173)</f>
        <v>17108769.329999998</v>
      </c>
      <c r="H1174" s="114">
        <f t="shared" ref="H1174:I1174" si="221">SUM(H1166:H1173)</f>
        <v>0</v>
      </c>
      <c r="I1174" s="114">
        <f t="shared" si="221"/>
        <v>0</v>
      </c>
      <c r="J1174" s="114">
        <f>SUM(J1166:J1173)</f>
        <v>17108769.329999998</v>
      </c>
      <c r="K1174" s="490"/>
      <c r="L1174" s="468">
        <f>SUM(L1166:L1173)</f>
        <v>17108769.329999998</v>
      </c>
      <c r="M1174" s="114">
        <f>SUM(M1166:M1173)</f>
        <v>18819646.263</v>
      </c>
      <c r="N1174" s="114">
        <f>SUM(N1166:N1173)</f>
        <v>20701610.8893</v>
      </c>
    </row>
    <row r="1175" spans="1:14" s="20" customFormat="1">
      <c r="A1175" s="253"/>
      <c r="B1175" s="231"/>
      <c r="C1175" s="32" t="s">
        <v>47</v>
      </c>
      <c r="D1175" s="77">
        <v>22020105</v>
      </c>
      <c r="E1175" s="135" t="s">
        <v>1713</v>
      </c>
      <c r="F1175" s="136">
        <v>800000</v>
      </c>
      <c r="G1175" s="28">
        <v>800000</v>
      </c>
      <c r="H1175" s="28"/>
      <c r="I1175" s="28"/>
      <c r="J1175" s="28">
        <v>800000</v>
      </c>
      <c r="K1175" s="488">
        <f>J1175*4.38%</f>
        <v>35040</v>
      </c>
      <c r="L1175" s="469">
        <v>764960</v>
      </c>
      <c r="M1175" s="28">
        <v>2288000</v>
      </c>
      <c r="N1175" s="28">
        <v>2320000</v>
      </c>
    </row>
    <row r="1176" spans="1:14" s="20" customFormat="1">
      <c r="A1176" s="253"/>
      <c r="B1176" s="231"/>
      <c r="C1176" s="32" t="s">
        <v>47</v>
      </c>
      <c r="D1176" s="77">
        <v>22020301</v>
      </c>
      <c r="E1176" s="135" t="s">
        <v>737</v>
      </c>
      <c r="F1176" s="136">
        <v>686500</v>
      </c>
      <c r="G1176" s="28">
        <v>686500</v>
      </c>
      <c r="H1176" s="28"/>
      <c r="I1176" s="28"/>
      <c r="J1176" s="28">
        <v>686500</v>
      </c>
      <c r="K1176" s="488">
        <f t="shared" ref="K1176:K1185" si="222">J1176*4.38%</f>
        <v>30068.7</v>
      </c>
      <c r="L1176" s="469">
        <v>656431.30000000005</v>
      </c>
      <c r="M1176" s="28">
        <v>1066500</v>
      </c>
      <c r="N1176" s="28">
        <v>1128000</v>
      </c>
    </row>
    <row r="1177" spans="1:14" s="20" customFormat="1">
      <c r="A1177" s="253"/>
      <c r="B1177" s="231"/>
      <c r="C1177" s="32" t="s">
        <v>47</v>
      </c>
      <c r="D1177" s="77">
        <v>22020308</v>
      </c>
      <c r="E1177" s="135" t="s">
        <v>756</v>
      </c>
      <c r="F1177" s="136">
        <v>501000</v>
      </c>
      <c r="G1177" s="28">
        <v>501000</v>
      </c>
      <c r="H1177" s="28"/>
      <c r="I1177" s="28"/>
      <c r="J1177" s="28">
        <v>501000</v>
      </c>
      <c r="K1177" s="488">
        <f t="shared" si="222"/>
        <v>21943.8</v>
      </c>
      <c r="L1177" s="469">
        <v>479056.2</v>
      </c>
      <c r="M1177" s="28">
        <v>501000</v>
      </c>
      <c r="N1177" s="28">
        <v>501000</v>
      </c>
    </row>
    <row r="1178" spans="1:14" s="20" customFormat="1">
      <c r="A1178" s="253"/>
      <c r="B1178" s="231"/>
      <c r="C1178" s="32" t="s">
        <v>47</v>
      </c>
      <c r="D1178" s="77">
        <v>22020315</v>
      </c>
      <c r="E1178" s="135" t="s">
        <v>740</v>
      </c>
      <c r="F1178" s="136">
        <v>560000</v>
      </c>
      <c r="G1178" s="28">
        <v>560000</v>
      </c>
      <c r="H1178" s="28"/>
      <c r="I1178" s="28"/>
      <c r="J1178" s="28">
        <v>560000</v>
      </c>
      <c r="K1178" s="488">
        <f t="shared" si="222"/>
        <v>24528</v>
      </c>
      <c r="L1178" s="469">
        <v>535472</v>
      </c>
      <c r="M1178" s="28">
        <v>560000</v>
      </c>
      <c r="N1178" s="28">
        <v>560000</v>
      </c>
    </row>
    <row r="1179" spans="1:14" s="20" customFormat="1">
      <c r="A1179" s="253"/>
      <c r="B1179" s="231"/>
      <c r="C1179" s="32" t="s">
        <v>47</v>
      </c>
      <c r="D1179" s="77">
        <v>22020401</v>
      </c>
      <c r="E1179" s="135" t="s">
        <v>741</v>
      </c>
      <c r="F1179" s="136">
        <v>1519000</v>
      </c>
      <c r="G1179" s="28">
        <v>1519000</v>
      </c>
      <c r="H1179" s="28"/>
      <c r="I1179" s="28"/>
      <c r="J1179" s="28">
        <v>1519000</v>
      </c>
      <c r="K1179" s="488">
        <f t="shared" si="222"/>
        <v>66532.2</v>
      </c>
      <c r="L1179" s="469">
        <v>1452467.8</v>
      </c>
      <c r="M1179" s="28">
        <v>1679000</v>
      </c>
      <c r="N1179" s="28">
        <v>1839000</v>
      </c>
    </row>
    <row r="1180" spans="1:14" s="20" customFormat="1">
      <c r="A1180" s="253"/>
      <c r="B1180" s="231"/>
      <c r="C1180" s="32" t="s">
        <v>47</v>
      </c>
      <c r="D1180" s="77">
        <v>22020402</v>
      </c>
      <c r="E1180" s="135" t="s">
        <v>757</v>
      </c>
      <c r="F1180" s="136">
        <f>612000-20000</f>
        <v>592000</v>
      </c>
      <c r="G1180" s="28">
        <f>612000-20000</f>
        <v>592000</v>
      </c>
      <c r="H1180" s="28"/>
      <c r="I1180" s="28"/>
      <c r="J1180" s="28">
        <v>592000</v>
      </c>
      <c r="K1180" s="488">
        <f t="shared" si="222"/>
        <v>25929.599999999999</v>
      </c>
      <c r="L1180" s="469">
        <v>566070.4</v>
      </c>
      <c r="M1180" s="28">
        <v>612000</v>
      </c>
      <c r="N1180" s="28">
        <v>612000</v>
      </c>
    </row>
    <row r="1181" spans="1:14" s="20" customFormat="1">
      <c r="A1181" s="253"/>
      <c r="B1181" s="231"/>
      <c r="C1181" s="32" t="s">
        <v>47</v>
      </c>
      <c r="D1181" s="77">
        <v>22020404</v>
      </c>
      <c r="E1181" s="135" t="s">
        <v>742</v>
      </c>
      <c r="F1181" s="136">
        <v>300000</v>
      </c>
      <c r="G1181" s="28">
        <v>300000</v>
      </c>
      <c r="H1181" s="28"/>
      <c r="I1181" s="28"/>
      <c r="J1181" s="28">
        <v>300000</v>
      </c>
      <c r="K1181" s="488">
        <f t="shared" si="222"/>
        <v>13140</v>
      </c>
      <c r="L1181" s="469">
        <v>286860</v>
      </c>
      <c r="M1181" s="28">
        <v>613000</v>
      </c>
      <c r="N1181" s="28">
        <v>613000</v>
      </c>
    </row>
    <row r="1182" spans="1:14" s="20" customFormat="1">
      <c r="A1182" s="253"/>
      <c r="B1182" s="231"/>
      <c r="C1182" s="32" t="s">
        <v>47</v>
      </c>
      <c r="D1182" s="77">
        <v>22020709</v>
      </c>
      <c r="E1182" s="135" t="s">
        <v>771</v>
      </c>
      <c r="F1182" s="136">
        <v>300000</v>
      </c>
      <c r="G1182" s="28">
        <v>300000</v>
      </c>
      <c r="H1182" s="28"/>
      <c r="I1182" s="28"/>
      <c r="J1182" s="28">
        <v>300000</v>
      </c>
      <c r="K1182" s="488">
        <f t="shared" si="222"/>
        <v>13140</v>
      </c>
      <c r="L1182" s="469">
        <v>286860</v>
      </c>
      <c r="M1182" s="28">
        <v>500000</v>
      </c>
      <c r="N1182" s="28">
        <v>500000</v>
      </c>
    </row>
    <row r="1183" spans="1:14" s="20" customFormat="1">
      <c r="A1183" s="253"/>
      <c r="B1183" s="231"/>
      <c r="C1183" s="32" t="s">
        <v>47</v>
      </c>
      <c r="D1183" s="77">
        <v>22020801</v>
      </c>
      <c r="E1183" s="135" t="s">
        <v>747</v>
      </c>
      <c r="F1183" s="136">
        <v>1615200</v>
      </c>
      <c r="G1183" s="28">
        <v>1615200</v>
      </c>
      <c r="H1183" s="28"/>
      <c r="I1183" s="28"/>
      <c r="J1183" s="28">
        <v>1615200</v>
      </c>
      <c r="K1183" s="488">
        <f t="shared" si="222"/>
        <v>70745.759999999995</v>
      </c>
      <c r="L1183" s="469">
        <v>1544454.24</v>
      </c>
      <c r="M1183" s="28">
        <v>1615200</v>
      </c>
      <c r="N1183" s="28">
        <v>1615200</v>
      </c>
    </row>
    <row r="1184" spans="1:14" s="20" customFormat="1">
      <c r="A1184" s="253"/>
      <c r="B1184" s="231"/>
      <c r="C1184" s="32" t="s">
        <v>47</v>
      </c>
      <c r="D1184" s="77">
        <v>22020901</v>
      </c>
      <c r="E1184" s="135" t="s">
        <v>749</v>
      </c>
      <c r="F1184" s="136">
        <v>20000</v>
      </c>
      <c r="G1184" s="28">
        <v>20000</v>
      </c>
      <c r="H1184" s="28"/>
      <c r="I1184" s="28"/>
      <c r="J1184" s="28">
        <v>20000</v>
      </c>
      <c r="K1184" s="488">
        <f t="shared" si="222"/>
        <v>876</v>
      </c>
      <c r="L1184" s="469">
        <v>19124</v>
      </c>
      <c r="M1184" s="28">
        <v>20000</v>
      </c>
      <c r="N1184" s="28">
        <v>20000</v>
      </c>
    </row>
    <row r="1185" spans="1:14" s="20" customFormat="1">
      <c r="A1185" s="238"/>
      <c r="B1185" s="231"/>
      <c r="C1185" s="30" t="s">
        <v>1839</v>
      </c>
      <c r="D1185" s="23"/>
      <c r="E1185" s="25"/>
      <c r="F1185" s="137">
        <f>SUM(F1175:F1184)</f>
        <v>6893700</v>
      </c>
      <c r="G1185" s="114">
        <f>SUM(G1175:G1184)</f>
        <v>6893700</v>
      </c>
      <c r="H1185" s="114">
        <f t="shared" ref="H1185:I1185" si="223">SUM(H1175:H1184)</f>
        <v>0</v>
      </c>
      <c r="I1185" s="114">
        <f t="shared" si="223"/>
        <v>0</v>
      </c>
      <c r="J1185" s="114">
        <f>SUM(J1175:J1184)</f>
        <v>6893700</v>
      </c>
      <c r="K1185" s="490">
        <f t="shared" si="222"/>
        <v>301944.06</v>
      </c>
      <c r="L1185" s="468">
        <f>SUM(L1175:L1184)</f>
        <v>6591755.9400000004</v>
      </c>
      <c r="M1185" s="114">
        <f>SUM(M1175:M1184)</f>
        <v>9454700</v>
      </c>
      <c r="N1185" s="114">
        <f>SUM(N1175:N1184)</f>
        <v>9708200</v>
      </c>
    </row>
    <row r="1186" spans="1:14" s="66" customFormat="1" ht="30">
      <c r="A1186" s="238" t="s">
        <v>959</v>
      </c>
      <c r="B1186" s="231" t="s">
        <v>1886</v>
      </c>
      <c r="C1186" s="30"/>
      <c r="D1186" s="23"/>
      <c r="E1186" s="25"/>
      <c r="F1186" s="137">
        <f>F1185+F1174</f>
        <v>24002469.329999998</v>
      </c>
      <c r="G1186" s="114">
        <f>G1185+G1174</f>
        <v>24002469.329999998</v>
      </c>
      <c r="H1186" s="114">
        <f t="shared" ref="H1186:I1186" si="224">H1185+H1174</f>
        <v>0</v>
      </c>
      <c r="I1186" s="114">
        <f t="shared" si="224"/>
        <v>0</v>
      </c>
      <c r="J1186" s="114">
        <f>J1185+J1174</f>
        <v>24002469.329999998</v>
      </c>
      <c r="K1186" s="490"/>
      <c r="L1186" s="468">
        <f>L1185+L1174</f>
        <v>23700525.27</v>
      </c>
      <c r="M1186" s="114">
        <f>M1185+M1174</f>
        <v>28274346.263</v>
      </c>
      <c r="N1186" s="114">
        <f>N1185+N1174</f>
        <v>30409810.8893</v>
      </c>
    </row>
    <row r="1187" spans="1:14" s="20" customFormat="1" ht="21">
      <c r="A1187" s="252"/>
      <c r="B1187" s="443"/>
      <c r="C1187" s="228"/>
      <c r="D1187" s="229"/>
      <c r="E1187" s="230"/>
      <c r="F1187" s="215"/>
      <c r="G1187" s="296"/>
      <c r="H1187" s="296"/>
      <c r="I1187" s="296"/>
      <c r="J1187" s="28"/>
      <c r="K1187" s="488"/>
      <c r="L1187" s="468"/>
      <c r="M1187" s="296"/>
      <c r="N1187" s="296"/>
    </row>
    <row r="1188" spans="1:14" s="20" customFormat="1">
      <c r="A1188" s="238" t="s">
        <v>961</v>
      </c>
      <c r="B1188" s="231" t="s">
        <v>1792</v>
      </c>
      <c r="C1188" s="32" t="s">
        <v>46</v>
      </c>
      <c r="D1188" s="77"/>
      <c r="E1188" s="135"/>
      <c r="F1188" s="138">
        <v>24675801</v>
      </c>
      <c r="G1188" s="297">
        <v>24675801</v>
      </c>
      <c r="H1188" s="297"/>
      <c r="I1188" s="297"/>
      <c r="J1188" s="28">
        <v>24675801</v>
      </c>
      <c r="K1188" s="488"/>
      <c r="L1188" s="467">
        <v>24675801</v>
      </c>
      <c r="M1188" s="297">
        <f>G1188*10%+G1188</f>
        <v>27143381.100000001</v>
      </c>
      <c r="N1188" s="297">
        <f>M1188*10%+M1188</f>
        <v>29857719.210000001</v>
      </c>
    </row>
    <row r="1189" spans="1:14" s="20" customFormat="1">
      <c r="A1189" s="238"/>
      <c r="B1189" s="231"/>
      <c r="C1189" s="30" t="s">
        <v>1836</v>
      </c>
      <c r="D1189" s="23"/>
      <c r="E1189" s="25"/>
      <c r="F1189" s="137">
        <f>SUM(F1188)</f>
        <v>24675801</v>
      </c>
      <c r="G1189" s="114">
        <f>SUM(G1188)</f>
        <v>24675801</v>
      </c>
      <c r="H1189" s="114">
        <f t="shared" ref="H1189:I1189" si="225">SUM(H1188)</f>
        <v>0</v>
      </c>
      <c r="I1189" s="114">
        <f t="shared" si="225"/>
        <v>0</v>
      </c>
      <c r="J1189" s="114">
        <f>SUM(J1188)</f>
        <v>24675801</v>
      </c>
      <c r="K1189" s="490"/>
      <c r="L1189" s="468">
        <f>SUM(L1188)</f>
        <v>24675801</v>
      </c>
      <c r="M1189" s="114">
        <f>SUM(M1188)</f>
        <v>27143381.100000001</v>
      </c>
      <c r="N1189" s="114">
        <f>SUM(N1188)</f>
        <v>29857719.210000001</v>
      </c>
    </row>
    <row r="1190" spans="1:14" s="20" customFormat="1">
      <c r="A1190" s="253"/>
      <c r="B1190" s="231"/>
      <c r="C1190" s="32" t="s">
        <v>47</v>
      </c>
      <c r="D1190" s="77">
        <v>22020105</v>
      </c>
      <c r="E1190" s="135" t="s">
        <v>1733</v>
      </c>
      <c r="F1190" s="136">
        <v>1920000</v>
      </c>
      <c r="G1190" s="28">
        <v>1920000</v>
      </c>
      <c r="H1190" s="28"/>
      <c r="I1190" s="28"/>
      <c r="J1190" s="28">
        <v>1920000</v>
      </c>
      <c r="K1190" s="488">
        <f>J1190*4.38%</f>
        <v>84096</v>
      </c>
      <c r="L1190" s="469">
        <v>1835904</v>
      </c>
      <c r="M1190" s="28">
        <v>1920000</v>
      </c>
      <c r="N1190" s="28">
        <v>1920000</v>
      </c>
    </row>
    <row r="1191" spans="1:14" s="20" customFormat="1">
      <c r="A1191" s="253"/>
      <c r="B1191" s="231"/>
      <c r="C1191" s="32" t="s">
        <v>47</v>
      </c>
      <c r="D1191" s="77">
        <v>22020201</v>
      </c>
      <c r="E1191" s="135" t="s">
        <v>849</v>
      </c>
      <c r="F1191" s="136">
        <v>1200000</v>
      </c>
      <c r="G1191" s="28">
        <v>1200000</v>
      </c>
      <c r="H1191" s="28"/>
      <c r="I1191" s="28"/>
      <c r="J1191" s="28">
        <v>1200000</v>
      </c>
      <c r="K1191" s="488">
        <f t="shared" ref="K1191:K1204" si="226">J1191*4.38%</f>
        <v>52560</v>
      </c>
      <c r="L1191" s="469">
        <v>1147440</v>
      </c>
      <c r="M1191" s="28">
        <v>1200000</v>
      </c>
      <c r="N1191" s="28">
        <v>1200000</v>
      </c>
    </row>
    <row r="1192" spans="1:14" s="20" customFormat="1">
      <c r="A1192" s="253"/>
      <c r="B1192" s="231"/>
      <c r="C1192" s="32" t="s">
        <v>47</v>
      </c>
      <c r="D1192" s="77">
        <v>22020202</v>
      </c>
      <c r="E1192" s="135" t="s">
        <v>865</v>
      </c>
      <c r="F1192" s="136">
        <v>2880000</v>
      </c>
      <c r="G1192" s="28">
        <v>0</v>
      </c>
      <c r="H1192" s="28"/>
      <c r="I1192" s="28"/>
      <c r="J1192" s="28">
        <v>0</v>
      </c>
      <c r="K1192" s="488">
        <f t="shared" si="226"/>
        <v>0</v>
      </c>
      <c r="L1192" s="469">
        <v>0</v>
      </c>
      <c r="M1192" s="28">
        <v>2880000</v>
      </c>
      <c r="N1192" s="28">
        <v>2880000</v>
      </c>
    </row>
    <row r="1193" spans="1:14" s="20" customFormat="1">
      <c r="A1193" s="253"/>
      <c r="B1193" s="231"/>
      <c r="C1193" s="32" t="s">
        <v>47</v>
      </c>
      <c r="D1193" s="77">
        <v>22020203</v>
      </c>
      <c r="E1193" s="135" t="s">
        <v>779</v>
      </c>
      <c r="F1193" s="136">
        <v>120000</v>
      </c>
      <c r="G1193" s="28">
        <v>120000</v>
      </c>
      <c r="H1193" s="28"/>
      <c r="I1193" s="28"/>
      <c r="J1193" s="28">
        <v>120000</v>
      </c>
      <c r="K1193" s="488">
        <f t="shared" si="226"/>
        <v>5256</v>
      </c>
      <c r="L1193" s="469">
        <v>114744</v>
      </c>
      <c r="M1193" s="28">
        <v>120000</v>
      </c>
      <c r="N1193" s="28">
        <v>120000</v>
      </c>
    </row>
    <row r="1194" spans="1:14" s="20" customFormat="1">
      <c r="A1194" s="253"/>
      <c r="B1194" s="231"/>
      <c r="C1194" s="32" t="s">
        <v>47</v>
      </c>
      <c r="D1194" s="77">
        <v>22020301</v>
      </c>
      <c r="E1194" s="135" t="s">
        <v>737</v>
      </c>
      <c r="F1194" s="136">
        <v>726000</v>
      </c>
      <c r="G1194" s="28">
        <v>726000</v>
      </c>
      <c r="H1194" s="28"/>
      <c r="I1194" s="28"/>
      <c r="J1194" s="28">
        <v>726000</v>
      </c>
      <c r="K1194" s="488">
        <f t="shared" si="226"/>
        <v>31798.799999999999</v>
      </c>
      <c r="L1194" s="469">
        <v>694201.2</v>
      </c>
      <c r="M1194" s="28">
        <v>726000</v>
      </c>
      <c r="N1194" s="28">
        <v>726000</v>
      </c>
    </row>
    <row r="1195" spans="1:14" s="20" customFormat="1">
      <c r="A1195" s="253"/>
      <c r="B1195" s="231"/>
      <c r="C1195" s="32" t="s">
        <v>47</v>
      </c>
      <c r="D1195" s="77">
        <v>22020305</v>
      </c>
      <c r="E1195" s="135" t="s">
        <v>755</v>
      </c>
      <c r="F1195" s="136">
        <v>382000</v>
      </c>
      <c r="G1195" s="28">
        <v>382000</v>
      </c>
      <c r="H1195" s="28"/>
      <c r="I1195" s="28"/>
      <c r="J1195" s="28">
        <v>382000</v>
      </c>
      <c r="K1195" s="488">
        <f t="shared" si="226"/>
        <v>16731.599999999999</v>
      </c>
      <c r="L1195" s="469">
        <v>365268.4</v>
      </c>
      <c r="M1195" s="28">
        <v>382000</v>
      </c>
      <c r="N1195" s="28">
        <v>382000</v>
      </c>
    </row>
    <row r="1196" spans="1:14" s="20" customFormat="1">
      <c r="A1196" s="253"/>
      <c r="B1196" s="231"/>
      <c r="C1196" s="32" t="s">
        <v>47</v>
      </c>
      <c r="D1196" s="77">
        <v>22020401</v>
      </c>
      <c r="E1196" s="135" t="s">
        <v>741</v>
      </c>
      <c r="F1196" s="136">
        <v>960000</v>
      </c>
      <c r="G1196" s="28">
        <v>960000</v>
      </c>
      <c r="H1196" s="28"/>
      <c r="I1196" s="28"/>
      <c r="J1196" s="28">
        <v>960000</v>
      </c>
      <c r="K1196" s="488">
        <f t="shared" si="226"/>
        <v>42048</v>
      </c>
      <c r="L1196" s="469">
        <v>917952</v>
      </c>
      <c r="M1196" s="28">
        <v>960000</v>
      </c>
      <c r="N1196" s="28">
        <v>960000</v>
      </c>
    </row>
    <row r="1197" spans="1:14" s="20" customFormat="1">
      <c r="A1197" s="253"/>
      <c r="B1197" s="231"/>
      <c r="C1197" s="32" t="s">
        <v>47</v>
      </c>
      <c r="D1197" s="77">
        <v>22020402</v>
      </c>
      <c r="E1197" s="135" t="s">
        <v>757</v>
      </c>
      <c r="F1197" s="136">
        <v>460000</v>
      </c>
      <c r="G1197" s="28">
        <v>460000</v>
      </c>
      <c r="H1197" s="28"/>
      <c r="I1197" s="28"/>
      <c r="J1197" s="28">
        <v>460000</v>
      </c>
      <c r="K1197" s="488">
        <f t="shared" si="226"/>
        <v>20148</v>
      </c>
      <c r="L1197" s="469">
        <v>439852</v>
      </c>
      <c r="M1197" s="28">
        <v>460000</v>
      </c>
      <c r="N1197" s="28">
        <v>460000</v>
      </c>
    </row>
    <row r="1198" spans="1:14" s="20" customFormat="1">
      <c r="A1198" s="253"/>
      <c r="B1198" s="231"/>
      <c r="C1198" s="32" t="s">
        <v>47</v>
      </c>
      <c r="D1198" s="77">
        <v>22020405</v>
      </c>
      <c r="E1198" s="135" t="s">
        <v>743</v>
      </c>
      <c r="F1198" s="136">
        <v>190000</v>
      </c>
      <c r="G1198" s="28">
        <v>190000</v>
      </c>
      <c r="H1198" s="28"/>
      <c r="I1198" s="28"/>
      <c r="J1198" s="28">
        <v>190000</v>
      </c>
      <c r="K1198" s="488">
        <f t="shared" si="226"/>
        <v>8322</v>
      </c>
      <c r="L1198" s="469">
        <v>181678</v>
      </c>
      <c r="M1198" s="28">
        <v>190000</v>
      </c>
      <c r="N1198" s="28">
        <v>190000</v>
      </c>
    </row>
    <row r="1199" spans="1:14" s="20" customFormat="1">
      <c r="A1199" s="253"/>
      <c r="B1199" s="231"/>
      <c r="C1199" s="32" t="s">
        <v>47</v>
      </c>
      <c r="D1199" s="77">
        <v>22020504</v>
      </c>
      <c r="E1199" s="135" t="s">
        <v>897</v>
      </c>
      <c r="F1199" s="136">
        <v>997000</v>
      </c>
      <c r="G1199" s="28">
        <v>997000</v>
      </c>
      <c r="H1199" s="28"/>
      <c r="I1199" s="28"/>
      <c r="J1199" s="28">
        <v>997000</v>
      </c>
      <c r="K1199" s="488">
        <f t="shared" si="226"/>
        <v>43668.6</v>
      </c>
      <c r="L1199" s="469">
        <v>953331.4</v>
      </c>
      <c r="M1199" s="28">
        <v>997000</v>
      </c>
      <c r="N1199" s="28">
        <v>997000</v>
      </c>
    </row>
    <row r="1200" spans="1:14" s="20" customFormat="1">
      <c r="A1200" s="253"/>
      <c r="B1200" s="231"/>
      <c r="C1200" s="32" t="s">
        <v>47</v>
      </c>
      <c r="D1200" s="77">
        <v>22020801</v>
      </c>
      <c r="E1200" s="135" t="s">
        <v>747</v>
      </c>
      <c r="F1200" s="136">
        <v>3480000</v>
      </c>
      <c r="G1200" s="28">
        <v>2480000</v>
      </c>
      <c r="H1200" s="28"/>
      <c r="I1200" s="28"/>
      <c r="J1200" s="28">
        <v>2480000</v>
      </c>
      <c r="K1200" s="488">
        <f t="shared" si="226"/>
        <v>108624</v>
      </c>
      <c r="L1200" s="469">
        <v>2371376</v>
      </c>
      <c r="M1200" s="28">
        <v>3480000</v>
      </c>
      <c r="N1200" s="28">
        <v>3480000</v>
      </c>
    </row>
    <row r="1201" spans="1:14" s="20" customFormat="1">
      <c r="A1201" s="253"/>
      <c r="B1201" s="231"/>
      <c r="C1201" s="32" t="s">
        <v>47</v>
      </c>
      <c r="D1201" s="77">
        <v>22020803</v>
      </c>
      <c r="E1201" s="135" t="s">
        <v>748</v>
      </c>
      <c r="F1201" s="136">
        <v>3600000</v>
      </c>
      <c r="G1201" s="28">
        <v>2600000</v>
      </c>
      <c r="H1201" s="28"/>
      <c r="I1201" s="28"/>
      <c r="J1201" s="28">
        <v>2600000</v>
      </c>
      <c r="K1201" s="488">
        <f t="shared" si="226"/>
        <v>113880</v>
      </c>
      <c r="L1201" s="469">
        <v>2486120</v>
      </c>
      <c r="M1201" s="28">
        <v>3600000</v>
      </c>
      <c r="N1201" s="28">
        <v>3600000</v>
      </c>
    </row>
    <row r="1202" spans="1:14" s="20" customFormat="1">
      <c r="A1202" s="253"/>
      <c r="B1202" s="231"/>
      <c r="C1202" s="32" t="s">
        <v>47</v>
      </c>
      <c r="D1202" s="77">
        <v>22020901</v>
      </c>
      <c r="E1202" s="135" t="s">
        <v>749</v>
      </c>
      <c r="F1202" s="136">
        <v>13260</v>
      </c>
      <c r="G1202" s="28">
        <v>13260</v>
      </c>
      <c r="H1202" s="28"/>
      <c r="I1202" s="28"/>
      <c r="J1202" s="28">
        <v>13260</v>
      </c>
      <c r="K1202" s="488">
        <f t="shared" si="226"/>
        <v>580.78800000000001</v>
      </c>
      <c r="L1202" s="469">
        <v>12679.212</v>
      </c>
      <c r="M1202" s="28">
        <v>13260</v>
      </c>
      <c r="N1202" s="28">
        <v>13260</v>
      </c>
    </row>
    <row r="1203" spans="1:14" s="20" customFormat="1">
      <c r="A1203" s="253"/>
      <c r="B1203" s="231"/>
      <c r="C1203" s="32" t="s">
        <v>47</v>
      </c>
      <c r="D1203" s="77">
        <v>22021001</v>
      </c>
      <c r="E1203" s="135" t="s">
        <v>772</v>
      </c>
      <c r="F1203" s="136">
        <v>869500</v>
      </c>
      <c r="G1203" s="28">
        <f>869500+64000</f>
        <v>933500</v>
      </c>
      <c r="H1203" s="28"/>
      <c r="I1203" s="28"/>
      <c r="J1203" s="28">
        <v>933500</v>
      </c>
      <c r="K1203" s="488">
        <f t="shared" si="226"/>
        <v>40887.299999999996</v>
      </c>
      <c r="L1203" s="469">
        <v>892612.7</v>
      </c>
      <c r="M1203" s="28">
        <v>869500</v>
      </c>
      <c r="N1203" s="28">
        <v>869500</v>
      </c>
    </row>
    <row r="1204" spans="1:14" s="20" customFormat="1">
      <c r="A1204" s="253"/>
      <c r="B1204" s="231"/>
      <c r="C1204" s="32"/>
      <c r="D1204" s="77">
        <v>22040119</v>
      </c>
      <c r="E1204" s="135" t="s">
        <v>802</v>
      </c>
      <c r="F1204" s="136"/>
      <c r="G1204" s="28">
        <v>34876000</v>
      </c>
      <c r="H1204" s="28"/>
      <c r="I1204" s="28"/>
      <c r="J1204" s="28">
        <v>34876000</v>
      </c>
      <c r="K1204" s="488">
        <f t="shared" si="226"/>
        <v>1527568.8</v>
      </c>
      <c r="L1204" s="468">
        <v>33348431.199999999</v>
      </c>
      <c r="M1204" s="28">
        <f>G1204*10%+G1204</f>
        <v>38363600</v>
      </c>
      <c r="N1204" s="28">
        <f>M1204*10%+M1204</f>
        <v>42199960</v>
      </c>
    </row>
    <row r="1205" spans="1:14" s="20" customFormat="1">
      <c r="A1205" s="238"/>
      <c r="B1205" s="231"/>
      <c r="C1205" s="30" t="s">
        <v>1839</v>
      </c>
      <c r="D1205" s="23"/>
      <c r="E1205" s="25"/>
      <c r="F1205" s="137">
        <f>SUM(F1190:F1203)</f>
        <v>17797760</v>
      </c>
      <c r="G1205" s="114">
        <f>SUM(G1190:G1204)</f>
        <v>47857760</v>
      </c>
      <c r="H1205" s="114">
        <f t="shared" ref="H1205:I1205" si="227">SUM(H1190:H1204)</f>
        <v>0</v>
      </c>
      <c r="I1205" s="114">
        <f t="shared" si="227"/>
        <v>0</v>
      </c>
      <c r="J1205" s="114">
        <f t="shared" ref="J1205:N1205" si="228">SUM(J1190:J1204)</f>
        <v>47857760</v>
      </c>
      <c r="K1205" s="490">
        <f t="shared" si="228"/>
        <v>2096169.888</v>
      </c>
      <c r="L1205" s="468">
        <f t="shared" si="228"/>
        <v>45761590.111999996</v>
      </c>
      <c r="M1205" s="114">
        <f t="shared" si="228"/>
        <v>56161360</v>
      </c>
      <c r="N1205" s="114">
        <f t="shared" si="228"/>
        <v>59997720</v>
      </c>
    </row>
    <row r="1206" spans="1:14" s="66" customFormat="1">
      <c r="A1206" s="238" t="s">
        <v>961</v>
      </c>
      <c r="B1206" s="231" t="s">
        <v>1887</v>
      </c>
      <c r="C1206" s="30"/>
      <c r="D1206" s="23"/>
      <c r="E1206" s="25"/>
      <c r="F1206" s="137">
        <f>F1205+F1189</f>
        <v>42473561</v>
      </c>
      <c r="G1206" s="114">
        <f>G1205+G1189</f>
        <v>72533561</v>
      </c>
      <c r="H1206" s="114">
        <f t="shared" ref="H1206:I1206" si="229">H1205+H1189</f>
        <v>0</v>
      </c>
      <c r="I1206" s="114">
        <f t="shared" si="229"/>
        <v>0</v>
      </c>
      <c r="J1206" s="114">
        <f>J1205+J1189</f>
        <v>72533561</v>
      </c>
      <c r="K1206" s="490"/>
      <c r="L1206" s="468">
        <f>L1205+L1189</f>
        <v>70437391.111999989</v>
      </c>
      <c r="M1206" s="114">
        <f>M1205+M1189</f>
        <v>83304741.099999994</v>
      </c>
      <c r="N1206" s="114">
        <f>N1205+N1189</f>
        <v>89855439.210000008</v>
      </c>
    </row>
    <row r="1207" spans="1:14" s="20" customFormat="1" ht="21">
      <c r="A1207" s="252"/>
      <c r="B1207" s="443"/>
      <c r="C1207" s="228"/>
      <c r="D1207" s="229"/>
      <c r="E1207" s="230"/>
      <c r="F1207" s="215"/>
      <c r="G1207" s="296"/>
      <c r="H1207" s="296"/>
      <c r="I1207" s="296"/>
      <c r="J1207" s="28"/>
      <c r="K1207" s="488"/>
      <c r="L1207" s="468"/>
      <c r="M1207" s="296"/>
      <c r="N1207" s="296"/>
    </row>
    <row r="1208" spans="1:14" s="20" customFormat="1">
      <c r="A1208" s="238" t="s">
        <v>962</v>
      </c>
      <c r="B1208" s="231" t="s">
        <v>104</v>
      </c>
      <c r="C1208" s="32" t="s">
        <v>46</v>
      </c>
      <c r="D1208" s="77"/>
      <c r="E1208" s="135"/>
      <c r="F1208" s="136">
        <v>159020839.44</v>
      </c>
      <c r="G1208" s="28">
        <v>159020839.44</v>
      </c>
      <c r="H1208" s="28"/>
      <c r="I1208" s="28"/>
      <c r="J1208" s="28">
        <v>159020839.44</v>
      </c>
      <c r="K1208" s="488"/>
      <c r="L1208" s="467">
        <v>159020839.44</v>
      </c>
      <c r="M1208" s="28">
        <f>G1208*10%+G1208</f>
        <v>174922923.384</v>
      </c>
      <c r="N1208" s="28">
        <f>M1208*10%+M1208</f>
        <v>192415215.72240001</v>
      </c>
    </row>
    <row r="1209" spans="1:14" s="20" customFormat="1">
      <c r="A1209" s="238"/>
      <c r="B1209" s="231"/>
      <c r="C1209" s="30" t="s">
        <v>1842</v>
      </c>
      <c r="D1209" s="23"/>
      <c r="E1209" s="25"/>
      <c r="F1209" s="137">
        <f>SUM(F1208)</f>
        <v>159020839.44</v>
      </c>
      <c r="G1209" s="114">
        <f>SUM(G1208)</f>
        <v>159020839.44</v>
      </c>
      <c r="H1209" s="114">
        <f t="shared" ref="H1209:I1209" si="230">SUM(H1208)</f>
        <v>0</v>
      </c>
      <c r="I1209" s="114">
        <f t="shared" si="230"/>
        <v>0</v>
      </c>
      <c r="J1209" s="114">
        <f>SUM(J1208)</f>
        <v>159020839.44</v>
      </c>
      <c r="K1209" s="490"/>
      <c r="L1209" s="468">
        <f>SUM(L1208)</f>
        <v>159020839.44</v>
      </c>
      <c r="M1209" s="114">
        <f>SUM(M1208)</f>
        <v>174922923.384</v>
      </c>
      <c r="N1209" s="114">
        <f>SUM(N1208)</f>
        <v>192415215.72240001</v>
      </c>
    </row>
    <row r="1210" spans="1:14" s="20" customFormat="1">
      <c r="A1210" s="253"/>
      <c r="B1210" s="231"/>
      <c r="C1210" s="32" t="s">
        <v>47</v>
      </c>
      <c r="D1210" s="77">
        <v>22020105</v>
      </c>
      <c r="E1210" s="135" t="s">
        <v>1733</v>
      </c>
      <c r="F1210" s="136">
        <v>3020000</v>
      </c>
      <c r="G1210" s="28">
        <f>5020000+1034000</f>
        <v>6054000</v>
      </c>
      <c r="H1210" s="28"/>
      <c r="I1210" s="28"/>
      <c r="J1210" s="28">
        <v>6054000</v>
      </c>
      <c r="K1210" s="488">
        <f>J1210*4.38%</f>
        <v>265165.2</v>
      </c>
      <c r="L1210" s="469">
        <v>5788834.8000000007</v>
      </c>
      <c r="M1210" s="28">
        <v>3020000</v>
      </c>
      <c r="N1210" s="28">
        <v>3020000</v>
      </c>
    </row>
    <row r="1211" spans="1:14" s="20" customFormat="1">
      <c r="A1211" s="253"/>
      <c r="B1211" s="231"/>
      <c r="C1211" s="32" t="s">
        <v>47</v>
      </c>
      <c r="D1211" s="77">
        <v>22020301</v>
      </c>
      <c r="E1211" s="135" t="s">
        <v>737</v>
      </c>
      <c r="F1211" s="136">
        <v>1200000</v>
      </c>
      <c r="G1211" s="28">
        <v>1200000</v>
      </c>
      <c r="H1211" s="28"/>
      <c r="I1211" s="28"/>
      <c r="J1211" s="28">
        <v>1200000</v>
      </c>
      <c r="K1211" s="488">
        <f t="shared" ref="K1211:K1222" si="231">J1211*4.38%</f>
        <v>52560</v>
      </c>
      <c r="L1211" s="469">
        <v>1147440</v>
      </c>
      <c r="M1211" s="28">
        <v>1200000</v>
      </c>
      <c r="N1211" s="28">
        <v>1200000</v>
      </c>
    </row>
    <row r="1212" spans="1:14" s="20" customFormat="1">
      <c r="A1212" s="253"/>
      <c r="B1212" s="231"/>
      <c r="C1212" s="32" t="s">
        <v>47</v>
      </c>
      <c r="D1212" s="77">
        <v>22020314</v>
      </c>
      <c r="E1212" s="135" t="s">
        <v>861</v>
      </c>
      <c r="F1212" s="136">
        <v>14620000</v>
      </c>
      <c r="G1212" s="28">
        <v>14620000</v>
      </c>
      <c r="H1212" s="28"/>
      <c r="I1212" s="28"/>
      <c r="J1212" s="28">
        <v>14620000</v>
      </c>
      <c r="K1212" s="488">
        <f t="shared" si="231"/>
        <v>640356</v>
      </c>
      <c r="L1212" s="469">
        <v>13979644</v>
      </c>
      <c r="M1212" s="28">
        <v>14620000</v>
      </c>
      <c r="N1212" s="28">
        <v>14620000</v>
      </c>
    </row>
    <row r="1213" spans="1:14" s="20" customFormat="1">
      <c r="A1213" s="253"/>
      <c r="B1213" s="386"/>
      <c r="C1213" s="32" t="s">
        <v>47</v>
      </c>
      <c r="D1213" s="77">
        <v>22020401</v>
      </c>
      <c r="E1213" s="135" t="s">
        <v>741</v>
      </c>
      <c r="F1213" s="136">
        <v>60000</v>
      </c>
      <c r="G1213" s="28">
        <v>300000</v>
      </c>
      <c r="H1213" s="28"/>
      <c r="I1213" s="28"/>
      <c r="J1213" s="28">
        <v>300000</v>
      </c>
      <c r="K1213" s="488">
        <f t="shared" si="231"/>
        <v>13140</v>
      </c>
      <c r="L1213" s="469">
        <v>286860</v>
      </c>
      <c r="M1213" s="28">
        <v>60000</v>
      </c>
      <c r="N1213" s="28">
        <v>60000</v>
      </c>
    </row>
    <row r="1214" spans="1:14" s="20" customFormat="1">
      <c r="A1214" s="253"/>
      <c r="B1214" s="386"/>
      <c r="C1214" s="32" t="s">
        <v>47</v>
      </c>
      <c r="D1214" s="77">
        <v>22020402</v>
      </c>
      <c r="E1214" s="135" t="s">
        <v>757</v>
      </c>
      <c r="F1214" s="136">
        <v>12000</v>
      </c>
      <c r="G1214" s="28">
        <v>300000</v>
      </c>
      <c r="H1214" s="28"/>
      <c r="I1214" s="28"/>
      <c r="J1214" s="28">
        <v>300000</v>
      </c>
      <c r="K1214" s="488">
        <f t="shared" si="231"/>
        <v>13140</v>
      </c>
      <c r="L1214" s="469">
        <v>286860</v>
      </c>
      <c r="M1214" s="28">
        <v>12000</v>
      </c>
      <c r="N1214" s="28">
        <v>12000</v>
      </c>
    </row>
    <row r="1215" spans="1:14" s="20" customFormat="1">
      <c r="A1215" s="253"/>
      <c r="B1215" s="386"/>
      <c r="C1215" s="32" t="s">
        <v>47</v>
      </c>
      <c r="D1215" s="77">
        <v>22020404</v>
      </c>
      <c r="E1215" s="135" t="s">
        <v>742</v>
      </c>
      <c r="F1215" s="136">
        <v>6000</v>
      </c>
      <c r="G1215" s="28">
        <v>300000</v>
      </c>
      <c r="H1215" s="28"/>
      <c r="I1215" s="28"/>
      <c r="J1215" s="28">
        <v>300000</v>
      </c>
      <c r="K1215" s="488">
        <f t="shared" si="231"/>
        <v>13140</v>
      </c>
      <c r="L1215" s="469">
        <v>286860</v>
      </c>
      <c r="M1215" s="28">
        <v>6000</v>
      </c>
      <c r="N1215" s="28">
        <v>6000</v>
      </c>
    </row>
    <row r="1216" spans="1:14" s="20" customFormat="1">
      <c r="A1216" s="253"/>
      <c r="B1216" s="386"/>
      <c r="C1216" s="32" t="s">
        <v>47</v>
      </c>
      <c r="D1216" s="77">
        <v>22020405</v>
      </c>
      <c r="E1216" s="135" t="s">
        <v>743</v>
      </c>
      <c r="F1216" s="136">
        <v>12000</v>
      </c>
      <c r="G1216" s="28">
        <v>200000</v>
      </c>
      <c r="H1216" s="28"/>
      <c r="I1216" s="28"/>
      <c r="J1216" s="28">
        <v>200000</v>
      </c>
      <c r="K1216" s="488">
        <f t="shared" si="231"/>
        <v>8760</v>
      </c>
      <c r="L1216" s="469">
        <v>191240</v>
      </c>
      <c r="M1216" s="28">
        <v>12000</v>
      </c>
      <c r="N1216" s="28">
        <v>12000</v>
      </c>
    </row>
    <row r="1217" spans="1:14" s="20" customFormat="1">
      <c r="A1217" s="253"/>
      <c r="B1217" s="386"/>
      <c r="C1217" s="32" t="s">
        <v>47</v>
      </c>
      <c r="D1217" s="77">
        <v>22020703</v>
      </c>
      <c r="E1217" s="135" t="s">
        <v>770</v>
      </c>
      <c r="F1217" s="136">
        <v>23304000</v>
      </c>
      <c r="G1217" s="28">
        <v>23304000</v>
      </c>
      <c r="H1217" s="28"/>
      <c r="I1217" s="28"/>
      <c r="J1217" s="28">
        <v>23304000</v>
      </c>
      <c r="K1217" s="488">
        <f t="shared" si="231"/>
        <v>1020715.2</v>
      </c>
      <c r="L1217" s="469">
        <v>22283284.800000001</v>
      </c>
      <c r="M1217" s="28">
        <v>23624000</v>
      </c>
      <c r="N1217" s="28">
        <v>23624000</v>
      </c>
    </row>
    <row r="1218" spans="1:14" s="20" customFormat="1">
      <c r="A1218" s="253"/>
      <c r="B1218" s="386"/>
      <c r="C1218" s="32" t="s">
        <v>47</v>
      </c>
      <c r="D1218" s="77">
        <v>22020801</v>
      </c>
      <c r="E1218" s="135" t="s">
        <v>747</v>
      </c>
      <c r="F1218" s="136">
        <v>14500</v>
      </c>
      <c r="G1218" s="28">
        <v>500000</v>
      </c>
      <c r="H1218" s="28"/>
      <c r="I1218" s="28"/>
      <c r="J1218" s="28">
        <v>500000</v>
      </c>
      <c r="K1218" s="488">
        <f t="shared" si="231"/>
        <v>21900</v>
      </c>
      <c r="L1218" s="469">
        <v>478100</v>
      </c>
      <c r="M1218" s="28">
        <v>3480</v>
      </c>
      <c r="N1218" s="28">
        <v>3480</v>
      </c>
    </row>
    <row r="1219" spans="1:14" s="20" customFormat="1">
      <c r="A1219" s="253"/>
      <c r="B1219" s="386"/>
      <c r="C1219" s="32" t="s">
        <v>47</v>
      </c>
      <c r="D1219" s="77">
        <v>22020803</v>
      </c>
      <c r="E1219" s="135" t="s">
        <v>748</v>
      </c>
      <c r="F1219" s="136">
        <v>43500</v>
      </c>
      <c r="G1219" s="28">
        <v>500000</v>
      </c>
      <c r="H1219" s="28"/>
      <c r="I1219" s="28"/>
      <c r="J1219" s="28">
        <v>500000</v>
      </c>
      <c r="K1219" s="488">
        <f t="shared" si="231"/>
        <v>21900</v>
      </c>
      <c r="L1219" s="469">
        <v>478100</v>
      </c>
      <c r="M1219" s="28">
        <v>3480</v>
      </c>
      <c r="N1219" s="28">
        <v>3480</v>
      </c>
    </row>
    <row r="1220" spans="1:14" s="20" customFormat="1">
      <c r="A1220" s="253"/>
      <c r="B1220" s="449"/>
      <c r="C1220" s="32" t="s">
        <v>47</v>
      </c>
      <c r="D1220" s="77">
        <v>22020901</v>
      </c>
      <c r="E1220" s="135" t="s">
        <v>749</v>
      </c>
      <c r="F1220" s="136">
        <v>20000</v>
      </c>
      <c r="G1220" s="28">
        <v>40000</v>
      </c>
      <c r="H1220" s="28"/>
      <c r="I1220" s="28"/>
      <c r="J1220" s="28">
        <v>40000</v>
      </c>
      <c r="K1220" s="488">
        <f t="shared" si="231"/>
        <v>1752</v>
      </c>
      <c r="L1220" s="469">
        <v>38248</v>
      </c>
      <c r="M1220" s="28">
        <v>0</v>
      </c>
      <c r="N1220" s="28">
        <v>0</v>
      </c>
    </row>
    <row r="1221" spans="1:14" s="20" customFormat="1">
      <c r="A1221" s="253"/>
      <c r="B1221" s="231"/>
      <c r="C1221" s="32" t="s">
        <v>47</v>
      </c>
      <c r="D1221" s="77">
        <v>22021001</v>
      </c>
      <c r="E1221" s="135" t="s">
        <v>772</v>
      </c>
      <c r="F1221" s="136">
        <v>120000</v>
      </c>
      <c r="G1221" s="28">
        <v>120000</v>
      </c>
      <c r="H1221" s="28"/>
      <c r="I1221" s="28"/>
      <c r="J1221" s="28">
        <v>120000</v>
      </c>
      <c r="K1221" s="488">
        <f t="shared" si="231"/>
        <v>5256</v>
      </c>
      <c r="L1221" s="469">
        <v>114744</v>
      </c>
      <c r="M1221" s="28">
        <v>120000</v>
      </c>
      <c r="N1221" s="28">
        <v>120000</v>
      </c>
    </row>
    <row r="1222" spans="1:14" s="20" customFormat="1">
      <c r="A1222" s="253"/>
      <c r="B1222" s="231"/>
      <c r="C1222" s="32" t="s">
        <v>47</v>
      </c>
      <c r="D1222" s="77">
        <v>22021031</v>
      </c>
      <c r="E1222" s="135" t="s">
        <v>933</v>
      </c>
      <c r="F1222" s="136">
        <v>30000000</v>
      </c>
      <c r="G1222" s="28">
        <v>25000000</v>
      </c>
      <c r="H1222" s="28"/>
      <c r="I1222" s="28"/>
      <c r="J1222" s="28">
        <v>25000000</v>
      </c>
      <c r="K1222" s="488">
        <f t="shared" si="231"/>
        <v>1095000</v>
      </c>
      <c r="L1222" s="469">
        <v>23905000</v>
      </c>
      <c r="M1222" s="28">
        <v>30000000</v>
      </c>
      <c r="N1222" s="28">
        <v>30000000</v>
      </c>
    </row>
    <row r="1223" spans="1:14" s="20" customFormat="1">
      <c r="A1223" s="238"/>
      <c r="B1223" s="231"/>
      <c r="C1223" s="30" t="s">
        <v>1837</v>
      </c>
      <c r="D1223" s="23"/>
      <c r="E1223" s="25"/>
      <c r="F1223" s="137">
        <f>SUM(F1210:F1222)</f>
        <v>72432000</v>
      </c>
      <c r="G1223" s="114">
        <f>SUM(G1210:G1222)</f>
        <v>72438000</v>
      </c>
      <c r="H1223" s="114">
        <f t="shared" ref="H1223:I1223" si="232">SUM(H1210:H1222)</f>
        <v>0</v>
      </c>
      <c r="I1223" s="114">
        <f t="shared" si="232"/>
        <v>0</v>
      </c>
      <c r="J1223" s="114">
        <f>SUM(J1210:J1222)</f>
        <v>72438000</v>
      </c>
      <c r="K1223" s="490">
        <f>SUM(K1210:K1222)</f>
        <v>3172784.4</v>
      </c>
      <c r="L1223" s="468">
        <f>SUM(L1210:L1222)</f>
        <v>69265215.599999994</v>
      </c>
      <c r="M1223" s="114">
        <f>SUM(M1210:M1222)</f>
        <v>72680960</v>
      </c>
      <c r="N1223" s="114">
        <f>SUM(N1210:N1222)</f>
        <v>72680960</v>
      </c>
    </row>
    <row r="1224" spans="1:14" s="66" customFormat="1">
      <c r="A1224" s="238" t="s">
        <v>962</v>
      </c>
      <c r="B1224" s="231" t="s">
        <v>1793</v>
      </c>
      <c r="C1224" s="30"/>
      <c r="D1224" s="23"/>
      <c r="E1224" s="25"/>
      <c r="F1224" s="137">
        <f>F1223+F1209</f>
        <v>231452839.44</v>
      </c>
      <c r="G1224" s="114">
        <f>G1223+G1209</f>
        <v>231458839.44</v>
      </c>
      <c r="H1224" s="114">
        <f t="shared" ref="H1224:I1224" si="233">H1223+H1209</f>
        <v>0</v>
      </c>
      <c r="I1224" s="114">
        <f t="shared" si="233"/>
        <v>0</v>
      </c>
      <c r="J1224" s="114">
        <f>J1223+J1209</f>
        <v>231458839.44</v>
      </c>
      <c r="K1224" s="490"/>
      <c r="L1224" s="468">
        <f>L1223+L1209</f>
        <v>228286055.03999999</v>
      </c>
      <c r="M1224" s="114">
        <f>M1223+M1209</f>
        <v>247603883.384</v>
      </c>
      <c r="N1224" s="114">
        <f>N1223+N1209</f>
        <v>265096175.72240001</v>
      </c>
    </row>
    <row r="1225" spans="1:14" s="20" customFormat="1" ht="21">
      <c r="A1225" s="252"/>
      <c r="B1225" s="443"/>
      <c r="C1225" s="228"/>
      <c r="D1225" s="229"/>
      <c r="E1225" s="337"/>
      <c r="F1225" s="215"/>
      <c r="G1225" s="296"/>
      <c r="H1225" s="296"/>
      <c r="I1225" s="296"/>
      <c r="J1225" s="28"/>
      <c r="K1225" s="488"/>
      <c r="L1225" s="468"/>
      <c r="M1225" s="296"/>
      <c r="N1225" s="296"/>
    </row>
    <row r="1226" spans="1:14" s="20" customFormat="1">
      <c r="A1226" s="238" t="s">
        <v>963</v>
      </c>
      <c r="B1226" s="231" t="s">
        <v>103</v>
      </c>
      <c r="C1226" s="32" t="s">
        <v>46</v>
      </c>
      <c r="D1226" s="77"/>
      <c r="E1226" s="135"/>
      <c r="F1226" s="136">
        <v>611558574.71999812</v>
      </c>
      <c r="G1226" s="28">
        <v>611558574.71999812</v>
      </c>
      <c r="H1226" s="28">
        <v>145784764</v>
      </c>
      <c r="I1226" s="28"/>
      <c r="J1226" s="28">
        <v>757343338.71999812</v>
      </c>
      <c r="K1226" s="488"/>
      <c r="L1226" s="467">
        <v>757343338.71999812</v>
      </c>
      <c r="M1226" s="28">
        <f>G1226*10%+G1226</f>
        <v>672714432.19199789</v>
      </c>
      <c r="N1226" s="28">
        <f>M1226*10%+M1226</f>
        <v>739985875.41119766</v>
      </c>
    </row>
    <row r="1227" spans="1:14" s="20" customFormat="1">
      <c r="A1227" s="238"/>
      <c r="B1227" s="231"/>
      <c r="C1227" s="30" t="s">
        <v>1836</v>
      </c>
      <c r="D1227" s="23"/>
      <c r="E1227" s="25"/>
      <c r="F1227" s="137">
        <f>SUM(F1226)</f>
        <v>611558574.71999812</v>
      </c>
      <c r="G1227" s="114">
        <f>SUM(G1226)</f>
        <v>611558574.71999812</v>
      </c>
      <c r="H1227" s="114">
        <f t="shared" ref="H1227:I1227" si="234">SUM(H1226)</f>
        <v>145784764</v>
      </c>
      <c r="I1227" s="114">
        <f t="shared" si="234"/>
        <v>0</v>
      </c>
      <c r="J1227" s="114">
        <f>SUM(J1226)</f>
        <v>757343338.71999812</v>
      </c>
      <c r="K1227" s="490"/>
      <c r="L1227" s="468">
        <f>SUM(L1226)</f>
        <v>757343338.71999812</v>
      </c>
      <c r="M1227" s="114">
        <f>SUM(M1226)</f>
        <v>672714432.19199789</v>
      </c>
      <c r="N1227" s="114">
        <f>SUM(N1226)</f>
        <v>739985875.41119766</v>
      </c>
    </row>
    <row r="1228" spans="1:14" s="20" customFormat="1">
      <c r="A1228" s="253"/>
      <c r="B1228" s="231"/>
      <c r="C1228" s="32" t="s">
        <v>47</v>
      </c>
      <c r="D1228" s="77">
        <v>22020101</v>
      </c>
      <c r="E1228" s="135" t="s">
        <v>841</v>
      </c>
      <c r="F1228" s="136">
        <f>375000+1000000</f>
        <v>1375000</v>
      </c>
      <c r="G1228" s="28">
        <f>375000+1000000</f>
        <v>1375000</v>
      </c>
      <c r="H1228" s="28"/>
      <c r="I1228" s="28"/>
      <c r="J1228" s="28">
        <v>1375000</v>
      </c>
      <c r="K1228" s="488">
        <f>J1228*4.38%</f>
        <v>60225</v>
      </c>
      <c r="L1228" s="469">
        <v>1314775</v>
      </c>
      <c r="M1228" s="28">
        <v>375000</v>
      </c>
      <c r="N1228" s="28">
        <v>375000</v>
      </c>
    </row>
    <row r="1229" spans="1:14" s="20" customFormat="1">
      <c r="A1229" s="253"/>
      <c r="B1229" s="231"/>
      <c r="C1229" s="32" t="s">
        <v>47</v>
      </c>
      <c r="D1229" s="77">
        <v>22020105</v>
      </c>
      <c r="E1229" s="135" t="s">
        <v>1733</v>
      </c>
      <c r="F1229" s="136">
        <v>7360000</v>
      </c>
      <c r="G1229" s="28">
        <v>7360000</v>
      </c>
      <c r="H1229" s="28"/>
      <c r="I1229" s="28"/>
      <c r="J1229" s="28">
        <v>7360000</v>
      </c>
      <c r="K1229" s="488">
        <f t="shared" ref="K1229:K1255" si="235">J1229*4.38%</f>
        <v>322368</v>
      </c>
      <c r="L1229" s="469">
        <v>7037632</v>
      </c>
      <c r="M1229" s="28">
        <v>7360000</v>
      </c>
      <c r="N1229" s="28">
        <v>7360000</v>
      </c>
    </row>
    <row r="1230" spans="1:14" s="20" customFormat="1">
      <c r="A1230" s="253"/>
      <c r="B1230" s="231"/>
      <c r="C1230" s="32" t="s">
        <v>47</v>
      </c>
      <c r="D1230" s="77">
        <v>22020106</v>
      </c>
      <c r="E1230" s="135" t="s">
        <v>846</v>
      </c>
      <c r="F1230" s="136"/>
      <c r="G1230" s="28">
        <v>5500000</v>
      </c>
      <c r="H1230" s="28"/>
      <c r="I1230" s="28"/>
      <c r="J1230" s="28">
        <v>5500000</v>
      </c>
      <c r="K1230" s="488">
        <f t="shared" si="235"/>
        <v>240900</v>
      </c>
      <c r="L1230" s="469">
        <v>5259100</v>
      </c>
      <c r="M1230" s="28">
        <f>G1230*10%+G1230</f>
        <v>6050000</v>
      </c>
      <c r="N1230" s="28">
        <f>M1230*10%+M1230</f>
        <v>6655000</v>
      </c>
    </row>
    <row r="1231" spans="1:14" s="20" customFormat="1">
      <c r="A1231" s="253"/>
      <c r="B1231" s="231"/>
      <c r="C1231" s="32" t="s">
        <v>47</v>
      </c>
      <c r="D1231" s="77">
        <v>22020112</v>
      </c>
      <c r="E1231" s="135" t="s">
        <v>848</v>
      </c>
      <c r="F1231" s="136"/>
      <c r="G1231" s="28">
        <v>3000000</v>
      </c>
      <c r="H1231" s="28"/>
      <c r="I1231" s="28"/>
      <c r="J1231" s="28">
        <v>3000000</v>
      </c>
      <c r="K1231" s="488">
        <f t="shared" si="235"/>
        <v>131400</v>
      </c>
      <c r="L1231" s="469">
        <v>2868600</v>
      </c>
      <c r="M1231" s="28">
        <f>G1231*10%+G1231</f>
        <v>3300000</v>
      </c>
      <c r="N1231" s="28">
        <f>M1231*10%+M1231</f>
        <v>3630000</v>
      </c>
    </row>
    <row r="1232" spans="1:14" s="20" customFormat="1">
      <c r="A1232" s="253"/>
      <c r="B1232" s="231"/>
      <c r="C1232" s="32" t="s">
        <v>47</v>
      </c>
      <c r="D1232" s="77">
        <v>22020114</v>
      </c>
      <c r="E1232" s="135" t="s">
        <v>830</v>
      </c>
      <c r="F1232" s="136">
        <f>1689000+2000000</f>
        <v>3689000</v>
      </c>
      <c r="G1232" s="28">
        <f>1689000+2000000</f>
        <v>3689000</v>
      </c>
      <c r="H1232" s="28"/>
      <c r="I1232" s="28"/>
      <c r="J1232" s="28">
        <v>3689000</v>
      </c>
      <c r="K1232" s="488">
        <f t="shared" si="235"/>
        <v>161578.19999999998</v>
      </c>
      <c r="L1232" s="469">
        <v>3527421.8000000003</v>
      </c>
      <c r="M1232" s="28">
        <v>1689000</v>
      </c>
      <c r="N1232" s="28">
        <v>1689000</v>
      </c>
    </row>
    <row r="1233" spans="1:14" s="20" customFormat="1">
      <c r="A1233" s="253"/>
      <c r="B1233" s="231"/>
      <c r="C1233" s="32" t="s">
        <v>47</v>
      </c>
      <c r="D1233" s="77">
        <v>22020201</v>
      </c>
      <c r="E1233" s="135" t="s">
        <v>849</v>
      </c>
      <c r="F1233" s="136">
        <v>9600000</v>
      </c>
      <c r="G1233" s="28">
        <v>9600000</v>
      </c>
      <c r="H1233" s="28"/>
      <c r="I1233" s="28"/>
      <c r="J1233" s="28">
        <v>9600000</v>
      </c>
      <c r="K1233" s="488">
        <f t="shared" si="235"/>
        <v>420480</v>
      </c>
      <c r="L1233" s="469">
        <v>9179520</v>
      </c>
      <c r="M1233" s="28">
        <v>9600000</v>
      </c>
      <c r="N1233" s="28">
        <v>9600000</v>
      </c>
    </row>
    <row r="1234" spans="1:14" s="20" customFormat="1">
      <c r="A1234" s="253"/>
      <c r="B1234" s="231"/>
      <c r="C1234" s="32" t="s">
        <v>47</v>
      </c>
      <c r="D1234" s="77">
        <v>22020202</v>
      </c>
      <c r="E1234" s="135" t="s">
        <v>865</v>
      </c>
      <c r="F1234" s="136">
        <v>240000</v>
      </c>
      <c r="G1234" s="28">
        <v>240000</v>
      </c>
      <c r="H1234" s="28"/>
      <c r="I1234" s="28"/>
      <c r="J1234" s="28">
        <v>240000</v>
      </c>
      <c r="K1234" s="488">
        <f t="shared" si="235"/>
        <v>10512</v>
      </c>
      <c r="L1234" s="469">
        <v>229488</v>
      </c>
      <c r="M1234" s="28">
        <v>240000</v>
      </c>
      <c r="N1234" s="28">
        <v>240000</v>
      </c>
    </row>
    <row r="1235" spans="1:14" s="20" customFormat="1">
      <c r="A1235" s="253"/>
      <c r="B1235" s="231"/>
      <c r="C1235" s="32" t="s">
        <v>47</v>
      </c>
      <c r="D1235" s="77">
        <v>22020203</v>
      </c>
      <c r="E1235" s="135" t="s">
        <v>779</v>
      </c>
      <c r="F1235" s="136">
        <v>5150000</v>
      </c>
      <c r="G1235" s="28">
        <v>5150000</v>
      </c>
      <c r="H1235" s="28"/>
      <c r="I1235" s="28"/>
      <c r="J1235" s="28">
        <v>5150000</v>
      </c>
      <c r="K1235" s="488">
        <f t="shared" si="235"/>
        <v>225570</v>
      </c>
      <c r="L1235" s="469">
        <v>4924430</v>
      </c>
      <c r="M1235" s="28">
        <v>5150000</v>
      </c>
      <c r="N1235" s="28">
        <v>5150000</v>
      </c>
    </row>
    <row r="1236" spans="1:14" s="20" customFormat="1">
      <c r="A1236" s="253"/>
      <c r="B1236" s="231"/>
      <c r="C1236" s="32" t="s">
        <v>47</v>
      </c>
      <c r="D1236" s="77">
        <v>22020205</v>
      </c>
      <c r="E1236" s="135" t="s">
        <v>850</v>
      </c>
      <c r="F1236" s="136">
        <v>3000000</v>
      </c>
      <c r="G1236" s="28">
        <v>3000000</v>
      </c>
      <c r="H1236" s="28"/>
      <c r="I1236" s="28"/>
      <c r="J1236" s="28">
        <v>3000000</v>
      </c>
      <c r="K1236" s="488">
        <f t="shared" si="235"/>
        <v>131400</v>
      </c>
      <c r="L1236" s="469">
        <v>2868600</v>
      </c>
      <c r="M1236" s="28">
        <v>3000000</v>
      </c>
      <c r="N1236" s="28">
        <v>3000000</v>
      </c>
    </row>
    <row r="1237" spans="1:14" s="20" customFormat="1">
      <c r="A1237" s="253"/>
      <c r="B1237" s="231"/>
      <c r="C1237" s="32" t="s">
        <v>47</v>
      </c>
      <c r="D1237" s="77">
        <v>22020301</v>
      </c>
      <c r="E1237" s="135" t="s">
        <v>737</v>
      </c>
      <c r="F1237" s="136">
        <v>4745000</v>
      </c>
      <c r="G1237" s="28">
        <v>4745000</v>
      </c>
      <c r="H1237" s="28"/>
      <c r="I1237" s="28"/>
      <c r="J1237" s="28">
        <v>4745000</v>
      </c>
      <c r="K1237" s="488">
        <f t="shared" si="235"/>
        <v>207831</v>
      </c>
      <c r="L1237" s="469">
        <v>4537169</v>
      </c>
      <c r="M1237" s="28">
        <v>4745000</v>
      </c>
      <c r="N1237" s="28">
        <v>4745000</v>
      </c>
    </row>
    <row r="1238" spans="1:14" s="20" customFormat="1">
      <c r="A1238" s="253"/>
      <c r="B1238" s="231"/>
      <c r="C1238" s="32" t="s">
        <v>47</v>
      </c>
      <c r="D1238" s="77">
        <v>22020305</v>
      </c>
      <c r="E1238" s="135" t="s">
        <v>755</v>
      </c>
      <c r="F1238" s="136">
        <v>1755000</v>
      </c>
      <c r="G1238" s="28">
        <v>1755000</v>
      </c>
      <c r="H1238" s="28"/>
      <c r="I1238" s="28"/>
      <c r="J1238" s="28">
        <v>1755000</v>
      </c>
      <c r="K1238" s="488">
        <f t="shared" si="235"/>
        <v>76869</v>
      </c>
      <c r="L1238" s="469">
        <v>1678131</v>
      </c>
      <c r="M1238" s="28">
        <v>1755000</v>
      </c>
      <c r="N1238" s="28">
        <v>1755000</v>
      </c>
    </row>
    <row r="1239" spans="1:14" s="20" customFormat="1">
      <c r="A1239" s="253"/>
      <c r="B1239" s="231"/>
      <c r="C1239" s="32" t="s">
        <v>47</v>
      </c>
      <c r="D1239" s="77">
        <v>22020314</v>
      </c>
      <c r="E1239" s="135" t="s">
        <v>861</v>
      </c>
      <c r="F1239" s="136">
        <v>20638000</v>
      </c>
      <c r="G1239" s="28">
        <v>20638000</v>
      </c>
      <c r="H1239" s="28"/>
      <c r="I1239" s="28"/>
      <c r="J1239" s="28">
        <v>20638000</v>
      </c>
      <c r="K1239" s="488">
        <f t="shared" si="235"/>
        <v>903944.4</v>
      </c>
      <c r="L1239" s="469">
        <v>19734055.600000001</v>
      </c>
      <c r="M1239" s="28">
        <v>20638000</v>
      </c>
      <c r="N1239" s="28">
        <v>20638000</v>
      </c>
    </row>
    <row r="1240" spans="1:14" s="20" customFormat="1">
      <c r="A1240" s="253"/>
      <c r="B1240" s="231"/>
      <c r="C1240" s="32" t="s">
        <v>47</v>
      </c>
      <c r="D1240" s="77">
        <v>22020401</v>
      </c>
      <c r="E1240" s="135" t="s">
        <v>741</v>
      </c>
      <c r="F1240" s="136">
        <f>1526400+1000000</f>
        <v>2526400</v>
      </c>
      <c r="G1240" s="28">
        <f>1526400+1000000</f>
        <v>2526400</v>
      </c>
      <c r="H1240" s="28"/>
      <c r="I1240" s="28"/>
      <c r="J1240" s="28">
        <v>2526400</v>
      </c>
      <c r="K1240" s="488">
        <f t="shared" si="235"/>
        <v>110656.31999999999</v>
      </c>
      <c r="L1240" s="469">
        <v>2415743.6800000002</v>
      </c>
      <c r="M1240" s="28">
        <v>1526400</v>
      </c>
      <c r="N1240" s="28">
        <v>1526400</v>
      </c>
    </row>
    <row r="1241" spans="1:14" s="20" customFormat="1">
      <c r="A1241" s="253"/>
      <c r="B1241" s="231"/>
      <c r="C1241" s="32" t="s">
        <v>47</v>
      </c>
      <c r="D1241" s="77">
        <v>22020402</v>
      </c>
      <c r="E1241" s="135" t="s">
        <v>757</v>
      </c>
      <c r="F1241" s="136">
        <v>2950000</v>
      </c>
      <c r="G1241" s="28">
        <v>2950000</v>
      </c>
      <c r="H1241" s="28"/>
      <c r="I1241" s="28"/>
      <c r="J1241" s="28">
        <v>2950000</v>
      </c>
      <c r="K1241" s="488">
        <f t="shared" si="235"/>
        <v>129210</v>
      </c>
      <c r="L1241" s="469">
        <v>2820790</v>
      </c>
      <c r="M1241" s="28">
        <v>0</v>
      </c>
      <c r="N1241" s="28">
        <v>0</v>
      </c>
    </row>
    <row r="1242" spans="1:14" s="20" customFormat="1">
      <c r="A1242" s="253"/>
      <c r="B1242" s="231"/>
      <c r="C1242" s="32" t="s">
        <v>47</v>
      </c>
      <c r="D1242" s="77">
        <v>22020405</v>
      </c>
      <c r="E1242" s="135" t="s">
        <v>743</v>
      </c>
      <c r="F1242" s="136">
        <v>2610000</v>
      </c>
      <c r="G1242" s="28">
        <v>2610000</v>
      </c>
      <c r="H1242" s="28"/>
      <c r="I1242" s="28"/>
      <c r="J1242" s="28">
        <v>2610000</v>
      </c>
      <c r="K1242" s="488">
        <f t="shared" si="235"/>
        <v>114318</v>
      </c>
      <c r="L1242" s="469">
        <v>2495682</v>
      </c>
      <c r="M1242" s="28">
        <v>2610000</v>
      </c>
      <c r="N1242" s="28">
        <v>2610000</v>
      </c>
    </row>
    <row r="1243" spans="1:14" s="20" customFormat="1">
      <c r="A1243" s="253"/>
      <c r="B1243" s="231"/>
      <c r="C1243" s="32" t="s">
        <v>47</v>
      </c>
      <c r="D1243" s="77">
        <v>22020406</v>
      </c>
      <c r="E1243" s="135" t="s">
        <v>758</v>
      </c>
      <c r="F1243" s="136">
        <v>3125000</v>
      </c>
      <c r="G1243" s="28">
        <v>3125000</v>
      </c>
      <c r="H1243" s="28"/>
      <c r="I1243" s="28"/>
      <c r="J1243" s="28">
        <v>3125000</v>
      </c>
      <c r="K1243" s="488">
        <f t="shared" si="235"/>
        <v>136875</v>
      </c>
      <c r="L1243" s="469">
        <v>2988125</v>
      </c>
      <c r="M1243" s="28">
        <v>3025000</v>
      </c>
      <c r="N1243" s="28">
        <v>3025000</v>
      </c>
    </row>
    <row r="1244" spans="1:14" s="20" customFormat="1">
      <c r="A1244" s="253"/>
      <c r="B1244" s="231"/>
      <c r="C1244" s="32" t="s">
        <v>47</v>
      </c>
      <c r="D1244" s="77">
        <v>22020601</v>
      </c>
      <c r="E1244" s="135" t="s">
        <v>766</v>
      </c>
      <c r="F1244" s="136">
        <v>1056000</v>
      </c>
      <c r="G1244" s="28">
        <v>1056000</v>
      </c>
      <c r="H1244" s="28"/>
      <c r="I1244" s="28"/>
      <c r="J1244" s="28">
        <v>1056000</v>
      </c>
      <c r="K1244" s="488">
        <f t="shared" si="235"/>
        <v>46252.799999999996</v>
      </c>
      <c r="L1244" s="469">
        <v>1009747.2000000001</v>
      </c>
      <c r="M1244" s="28">
        <v>1056000</v>
      </c>
      <c r="N1244" s="28">
        <v>1056000</v>
      </c>
    </row>
    <row r="1245" spans="1:14" s="20" customFormat="1">
      <c r="A1245" s="253"/>
      <c r="B1245" s="231"/>
      <c r="C1245" s="32" t="s">
        <v>47</v>
      </c>
      <c r="D1245" s="77">
        <v>22020702</v>
      </c>
      <c r="E1245" s="135" t="s">
        <v>964</v>
      </c>
      <c r="F1245" s="136">
        <v>200000</v>
      </c>
      <c r="G1245" s="28">
        <v>200000</v>
      </c>
      <c r="H1245" s="28"/>
      <c r="I1245" s="28"/>
      <c r="J1245" s="28">
        <v>200000</v>
      </c>
      <c r="K1245" s="488">
        <f t="shared" si="235"/>
        <v>8760</v>
      </c>
      <c r="L1245" s="469">
        <v>191240</v>
      </c>
      <c r="M1245" s="28">
        <v>200000</v>
      </c>
      <c r="N1245" s="28">
        <v>200000</v>
      </c>
    </row>
    <row r="1246" spans="1:14" s="20" customFormat="1">
      <c r="A1246" s="253"/>
      <c r="B1246" s="231"/>
      <c r="C1246" s="32" t="s">
        <v>47</v>
      </c>
      <c r="D1246" s="77">
        <v>22020801</v>
      </c>
      <c r="E1246" s="135" t="s">
        <v>747</v>
      </c>
      <c r="F1246" s="136">
        <f>1740000+2000000</f>
        <v>3740000</v>
      </c>
      <c r="G1246" s="28">
        <f>1740000+2000000</f>
        <v>3740000</v>
      </c>
      <c r="H1246" s="28"/>
      <c r="I1246" s="28"/>
      <c r="J1246" s="28">
        <v>3740000</v>
      </c>
      <c r="K1246" s="488">
        <f t="shared" si="235"/>
        <v>163812</v>
      </c>
      <c r="L1246" s="469">
        <v>3576188</v>
      </c>
      <c r="M1246" s="28">
        <v>1740000</v>
      </c>
      <c r="N1246" s="28">
        <v>1740000</v>
      </c>
    </row>
    <row r="1247" spans="1:14" s="20" customFormat="1">
      <c r="A1247" s="253"/>
      <c r="B1247" s="231"/>
      <c r="C1247" s="32" t="s">
        <v>47</v>
      </c>
      <c r="D1247" s="77">
        <v>22020803</v>
      </c>
      <c r="E1247" s="135" t="s">
        <v>748</v>
      </c>
      <c r="F1247" s="136">
        <v>18000000</v>
      </c>
      <c r="G1247" s="28">
        <v>18000000</v>
      </c>
      <c r="H1247" s="28"/>
      <c r="I1247" s="28"/>
      <c r="J1247" s="28">
        <v>18000000</v>
      </c>
      <c r="K1247" s="488">
        <f t="shared" si="235"/>
        <v>788400</v>
      </c>
      <c r="L1247" s="469">
        <v>17211600</v>
      </c>
      <c r="M1247" s="28">
        <v>18000000</v>
      </c>
      <c r="N1247" s="28">
        <v>18000000</v>
      </c>
    </row>
    <row r="1248" spans="1:14" s="20" customFormat="1">
      <c r="A1248" s="253"/>
      <c r="B1248" s="231"/>
      <c r="C1248" s="32" t="s">
        <v>47</v>
      </c>
      <c r="D1248" s="77">
        <v>22020901</v>
      </c>
      <c r="E1248" s="135" t="s">
        <v>749</v>
      </c>
      <c r="F1248" s="136">
        <v>25500</v>
      </c>
      <c r="G1248" s="28">
        <v>25500</v>
      </c>
      <c r="H1248" s="28"/>
      <c r="I1248" s="28"/>
      <c r="J1248" s="28">
        <v>25500</v>
      </c>
      <c r="K1248" s="488">
        <f t="shared" si="235"/>
        <v>1116.8999999999999</v>
      </c>
      <c r="L1248" s="469">
        <v>24383.100000000002</v>
      </c>
      <c r="M1248" s="28">
        <v>25500</v>
      </c>
      <c r="N1248" s="28">
        <v>25500</v>
      </c>
    </row>
    <row r="1249" spans="1:14" s="20" customFormat="1">
      <c r="A1249" s="253"/>
      <c r="B1249" s="231"/>
      <c r="C1249" s="32" t="s">
        <v>47</v>
      </c>
      <c r="D1249" s="77">
        <v>22021001</v>
      </c>
      <c r="E1249" s="135" t="s">
        <v>772</v>
      </c>
      <c r="F1249" s="136">
        <v>1189000</v>
      </c>
      <c r="G1249" s="28">
        <v>1189000</v>
      </c>
      <c r="H1249" s="28"/>
      <c r="I1249" s="28"/>
      <c r="J1249" s="28">
        <v>1189000</v>
      </c>
      <c r="K1249" s="488">
        <f t="shared" si="235"/>
        <v>52078.2</v>
      </c>
      <c r="L1249" s="469">
        <v>1136921.8</v>
      </c>
      <c r="M1249" s="28">
        <v>1189000</v>
      </c>
      <c r="N1249" s="28">
        <v>1189000</v>
      </c>
    </row>
    <row r="1250" spans="1:14" s="20" customFormat="1">
      <c r="A1250" s="253"/>
      <c r="B1250" s="231"/>
      <c r="C1250" s="32" t="s">
        <v>47</v>
      </c>
      <c r="D1250" s="77">
        <v>22021003</v>
      </c>
      <c r="E1250" s="135" t="s">
        <v>760</v>
      </c>
      <c r="F1250" s="136">
        <f>750000+1000000</f>
        <v>1750000</v>
      </c>
      <c r="G1250" s="28">
        <f>750000+1000000</f>
        <v>1750000</v>
      </c>
      <c r="H1250" s="28"/>
      <c r="I1250" s="28"/>
      <c r="J1250" s="28">
        <v>1750000</v>
      </c>
      <c r="K1250" s="488">
        <f t="shared" si="235"/>
        <v>76650</v>
      </c>
      <c r="L1250" s="469">
        <v>1673350</v>
      </c>
      <c r="M1250" s="28">
        <v>750000</v>
      </c>
      <c r="N1250" s="28">
        <v>750000</v>
      </c>
    </row>
    <row r="1251" spans="1:14" s="20" customFormat="1">
      <c r="A1251" s="253"/>
      <c r="B1251" s="231"/>
      <c r="C1251" s="32" t="s">
        <v>47</v>
      </c>
      <c r="D1251" s="77">
        <v>22021008</v>
      </c>
      <c r="E1251" s="135" t="s">
        <v>784</v>
      </c>
      <c r="F1251" s="136">
        <v>4500000</v>
      </c>
      <c r="G1251" s="28">
        <v>4500000</v>
      </c>
      <c r="H1251" s="28"/>
      <c r="I1251" s="28"/>
      <c r="J1251" s="28">
        <v>4500000</v>
      </c>
      <c r="K1251" s="488">
        <f t="shared" si="235"/>
        <v>197100</v>
      </c>
      <c r="L1251" s="469">
        <v>4302900</v>
      </c>
      <c r="M1251" s="28">
        <v>4500000</v>
      </c>
      <c r="N1251" s="28">
        <v>4500000</v>
      </c>
    </row>
    <row r="1252" spans="1:14" s="20" customFormat="1">
      <c r="A1252" s="253"/>
      <c r="B1252" s="231"/>
      <c r="C1252" s="32" t="s">
        <v>47</v>
      </c>
      <c r="D1252" s="77">
        <v>22021019</v>
      </c>
      <c r="E1252" s="135" t="s">
        <v>965</v>
      </c>
      <c r="F1252" s="136">
        <v>50500000</v>
      </c>
      <c r="G1252" s="28">
        <v>50500000</v>
      </c>
      <c r="H1252" s="28"/>
      <c r="I1252" s="28"/>
      <c r="J1252" s="28">
        <v>50500000</v>
      </c>
      <c r="K1252" s="488">
        <f t="shared" si="235"/>
        <v>2211900</v>
      </c>
      <c r="L1252" s="469">
        <v>48288100</v>
      </c>
      <c r="M1252" s="28">
        <v>50500000</v>
      </c>
      <c r="N1252" s="28">
        <v>50500000</v>
      </c>
    </row>
    <row r="1253" spans="1:14" s="20" customFormat="1">
      <c r="A1253" s="253"/>
      <c r="B1253" s="231"/>
      <c r="C1253" s="32" t="s">
        <v>47</v>
      </c>
      <c r="D1253" s="77">
        <v>22021022</v>
      </c>
      <c r="E1253" s="135" t="s">
        <v>815</v>
      </c>
      <c r="F1253" s="136">
        <v>3500000</v>
      </c>
      <c r="G1253" s="28">
        <v>3500000</v>
      </c>
      <c r="H1253" s="28"/>
      <c r="I1253" s="28"/>
      <c r="J1253" s="28">
        <v>3500000</v>
      </c>
      <c r="K1253" s="488">
        <f t="shared" si="235"/>
        <v>153300</v>
      </c>
      <c r="L1253" s="469">
        <v>3346700</v>
      </c>
      <c r="M1253" s="28">
        <v>3500000</v>
      </c>
      <c r="N1253" s="28">
        <v>3500000</v>
      </c>
    </row>
    <row r="1254" spans="1:14" s="20" customFormat="1">
      <c r="A1254" s="253"/>
      <c r="B1254" s="231"/>
      <c r="C1254" s="32" t="s">
        <v>47</v>
      </c>
      <c r="D1254" s="77">
        <v>22021026</v>
      </c>
      <c r="E1254" s="135" t="s">
        <v>966</v>
      </c>
      <c r="F1254" s="136">
        <v>1774100</v>
      </c>
      <c r="G1254" s="28">
        <v>1774100</v>
      </c>
      <c r="H1254" s="28"/>
      <c r="I1254" s="28"/>
      <c r="J1254" s="28">
        <v>1774100</v>
      </c>
      <c r="K1254" s="488">
        <f t="shared" si="235"/>
        <v>77705.58</v>
      </c>
      <c r="L1254" s="469">
        <v>1696394.4200000002</v>
      </c>
      <c r="M1254" s="28">
        <f>G1254*10%+G1254</f>
        <v>1951510</v>
      </c>
      <c r="N1254" s="28">
        <f>M1254*10%+M1254</f>
        <v>2146661</v>
      </c>
    </row>
    <row r="1255" spans="1:14" s="20" customFormat="1">
      <c r="A1255" s="238"/>
      <c r="B1255" s="231"/>
      <c r="C1255" s="30" t="s">
        <v>1837</v>
      </c>
      <c r="D1255" s="23"/>
      <c r="E1255" s="25"/>
      <c r="F1255" s="137">
        <f>SUM(F1228:F1254)</f>
        <v>154998000</v>
      </c>
      <c r="G1255" s="114">
        <f>SUM(G1228:G1254)</f>
        <v>163498000</v>
      </c>
      <c r="H1255" s="114">
        <f t="shared" ref="H1255:I1255" si="236">SUM(H1228:H1254)</f>
        <v>0</v>
      </c>
      <c r="I1255" s="114">
        <f t="shared" si="236"/>
        <v>0</v>
      </c>
      <c r="J1255" s="114">
        <f>SUM(J1228:J1254)</f>
        <v>163498000</v>
      </c>
      <c r="K1255" s="490">
        <f t="shared" si="235"/>
        <v>7161212.3999999994</v>
      </c>
      <c r="L1255" s="468">
        <f>SUM(L1228:L1254)</f>
        <v>156336787.59999999</v>
      </c>
      <c r="M1255" s="114">
        <f>SUM(M1228:M1254)</f>
        <v>154475410</v>
      </c>
      <c r="N1255" s="114">
        <f>SUM(N1228:N1254)</f>
        <v>155605561</v>
      </c>
    </row>
    <row r="1256" spans="1:14" s="66" customFormat="1">
      <c r="A1256" s="238" t="s">
        <v>963</v>
      </c>
      <c r="B1256" s="231" t="s">
        <v>1794</v>
      </c>
      <c r="C1256" s="30"/>
      <c r="D1256" s="23"/>
      <c r="E1256" s="25"/>
      <c r="F1256" s="137">
        <f>F1255+F1227</f>
        <v>766556574.71999812</v>
      </c>
      <c r="G1256" s="114">
        <f>G1255+G1227</f>
        <v>775056574.71999812</v>
      </c>
      <c r="H1256" s="114">
        <f t="shared" ref="H1256:I1256" si="237">H1255+H1227</f>
        <v>145784764</v>
      </c>
      <c r="I1256" s="114">
        <f t="shared" si="237"/>
        <v>0</v>
      </c>
      <c r="J1256" s="114">
        <f>J1255+J1227</f>
        <v>920841338.71999812</v>
      </c>
      <c r="K1256" s="490"/>
      <c r="L1256" s="468">
        <f>L1255+L1227</f>
        <v>913680126.31999815</v>
      </c>
      <c r="M1256" s="114">
        <f>M1255+M1227</f>
        <v>827189842.19199789</v>
      </c>
      <c r="N1256" s="114">
        <f>N1255+N1227</f>
        <v>895591436.41119766</v>
      </c>
    </row>
    <row r="1257" spans="1:14" s="20" customFormat="1" ht="21">
      <c r="A1257" s="252"/>
      <c r="B1257" s="443"/>
      <c r="C1257" s="228"/>
      <c r="D1257" s="229"/>
      <c r="E1257" s="230"/>
      <c r="F1257" s="215"/>
      <c r="G1257" s="296"/>
      <c r="H1257" s="296"/>
      <c r="I1257" s="296"/>
      <c r="J1257" s="28"/>
      <c r="K1257" s="488"/>
      <c r="L1257" s="468"/>
      <c r="M1257" s="296"/>
      <c r="N1257" s="296"/>
    </row>
    <row r="1258" spans="1:14" s="20" customFormat="1">
      <c r="A1258" s="238" t="s">
        <v>967</v>
      </c>
      <c r="B1258" s="231" t="s">
        <v>102</v>
      </c>
      <c r="C1258" s="32" t="s">
        <v>46</v>
      </c>
      <c r="D1258" s="77">
        <v>21010101</v>
      </c>
      <c r="E1258" s="135" t="s">
        <v>725</v>
      </c>
      <c r="F1258" s="136">
        <v>534811442.54880071</v>
      </c>
      <c r="G1258" s="28">
        <v>534811442.54880071</v>
      </c>
      <c r="H1258" s="28">
        <v>79009298</v>
      </c>
      <c r="I1258" s="28"/>
      <c r="J1258" s="28">
        <v>613820740.54880071</v>
      </c>
      <c r="K1258" s="488"/>
      <c r="L1258" s="467">
        <v>613820740.54880071</v>
      </c>
      <c r="M1258" s="28">
        <f>G1258*10%+G1258</f>
        <v>588292586.80368078</v>
      </c>
      <c r="N1258" s="28">
        <f>M1258*10%+M1258</f>
        <v>647121845.48404884</v>
      </c>
    </row>
    <row r="1259" spans="1:14" s="20" customFormat="1">
      <c r="A1259" s="238"/>
      <c r="B1259" s="231"/>
      <c r="C1259" s="30" t="s">
        <v>1836</v>
      </c>
      <c r="D1259" s="23"/>
      <c r="E1259" s="25"/>
      <c r="F1259" s="137">
        <f>SUM(F1258)</f>
        <v>534811442.54880071</v>
      </c>
      <c r="G1259" s="114">
        <f>SUM(G1258)</f>
        <v>534811442.54880071</v>
      </c>
      <c r="H1259" s="114">
        <f t="shared" ref="H1259:I1259" si="238">SUM(H1258)</f>
        <v>79009298</v>
      </c>
      <c r="I1259" s="114">
        <f t="shared" si="238"/>
        <v>0</v>
      </c>
      <c r="J1259" s="114">
        <f>SUM(J1258)</f>
        <v>613820740.54880071</v>
      </c>
      <c r="K1259" s="490"/>
      <c r="L1259" s="468">
        <f>SUM(L1258)</f>
        <v>613820740.54880071</v>
      </c>
      <c r="M1259" s="114">
        <f>SUM(M1258)</f>
        <v>588292586.80368078</v>
      </c>
      <c r="N1259" s="114">
        <f>SUM(N1258)</f>
        <v>647121845.48404884</v>
      </c>
    </row>
    <row r="1260" spans="1:14" s="20" customFormat="1">
      <c r="A1260" s="253"/>
      <c r="B1260" s="231"/>
      <c r="C1260" s="32" t="s">
        <v>47</v>
      </c>
      <c r="D1260" s="77">
        <v>22020105</v>
      </c>
      <c r="E1260" s="135" t="s">
        <v>1733</v>
      </c>
      <c r="F1260" s="136">
        <v>13248000</v>
      </c>
      <c r="G1260" s="28">
        <v>2000000</v>
      </c>
      <c r="H1260" s="28"/>
      <c r="I1260" s="28"/>
      <c r="J1260" s="28">
        <v>2000000</v>
      </c>
      <c r="K1260" s="488">
        <f>J1260*4.38%</f>
        <v>87600</v>
      </c>
      <c r="L1260" s="469">
        <v>1912400</v>
      </c>
      <c r="M1260" s="28">
        <v>13248000</v>
      </c>
      <c r="N1260" s="28">
        <v>13248000</v>
      </c>
    </row>
    <row r="1261" spans="1:14" s="20" customFormat="1">
      <c r="A1261" s="253"/>
      <c r="B1261" s="231"/>
      <c r="C1261" s="32" t="s">
        <v>47</v>
      </c>
      <c r="D1261" s="77">
        <v>22020106</v>
      </c>
      <c r="E1261" s="135" t="s">
        <v>846</v>
      </c>
      <c r="F1261" s="136"/>
      <c r="G1261" s="28">
        <v>7700000</v>
      </c>
      <c r="H1261" s="28"/>
      <c r="I1261" s="28"/>
      <c r="J1261" s="28">
        <v>7700000</v>
      </c>
      <c r="K1261" s="488">
        <f t="shared" ref="K1261:K1280" si="239">J1261*4.38%</f>
        <v>337260</v>
      </c>
      <c r="L1261" s="469">
        <v>7362740</v>
      </c>
      <c r="M1261" s="28">
        <f>G1261*10%+G1261</f>
        <v>8470000</v>
      </c>
      <c r="N1261" s="28">
        <f>M1261*10%+M1261</f>
        <v>9317000</v>
      </c>
    </row>
    <row r="1262" spans="1:14" s="20" customFormat="1">
      <c r="A1262" s="253"/>
      <c r="B1262" s="231"/>
      <c r="C1262" s="32" t="s">
        <v>47</v>
      </c>
      <c r="D1262" s="77">
        <v>22020112</v>
      </c>
      <c r="E1262" s="135" t="s">
        <v>848</v>
      </c>
      <c r="F1262" s="136"/>
      <c r="G1262" s="28">
        <v>6400000</v>
      </c>
      <c r="H1262" s="28"/>
      <c r="I1262" s="28"/>
      <c r="J1262" s="28">
        <v>6400000</v>
      </c>
      <c r="K1262" s="488">
        <f t="shared" si="239"/>
        <v>280320</v>
      </c>
      <c r="L1262" s="469">
        <v>6119680</v>
      </c>
      <c r="M1262" s="28">
        <f>G1262*10%+G1262</f>
        <v>7040000</v>
      </c>
      <c r="N1262" s="28">
        <f>M1262*10%+M1262</f>
        <v>7744000</v>
      </c>
    </row>
    <row r="1263" spans="1:14" s="20" customFormat="1">
      <c r="A1263" s="253"/>
      <c r="B1263" s="231"/>
      <c r="C1263" s="32" t="s">
        <v>47</v>
      </c>
      <c r="D1263" s="77">
        <v>22020108</v>
      </c>
      <c r="E1263" s="135" t="s">
        <v>812</v>
      </c>
      <c r="F1263" s="136">
        <v>5600000</v>
      </c>
      <c r="G1263" s="28">
        <v>5600000</v>
      </c>
      <c r="H1263" s="28"/>
      <c r="I1263" s="28"/>
      <c r="J1263" s="28">
        <v>5600000</v>
      </c>
      <c r="K1263" s="488">
        <f t="shared" si="239"/>
        <v>245280</v>
      </c>
      <c r="L1263" s="469">
        <v>5354720</v>
      </c>
      <c r="M1263" s="28">
        <v>0</v>
      </c>
      <c r="N1263" s="28">
        <v>0</v>
      </c>
    </row>
    <row r="1264" spans="1:14" s="20" customFormat="1">
      <c r="A1264" s="253"/>
      <c r="B1264" s="231"/>
      <c r="C1264" s="32" t="s">
        <v>47</v>
      </c>
      <c r="D1264" s="77">
        <v>22020114</v>
      </c>
      <c r="E1264" s="135" t="s">
        <v>830</v>
      </c>
      <c r="F1264" s="136">
        <v>1288400</v>
      </c>
      <c r="G1264" s="28">
        <v>1288400</v>
      </c>
      <c r="H1264" s="28"/>
      <c r="I1264" s="28"/>
      <c r="J1264" s="28">
        <v>1288400</v>
      </c>
      <c r="K1264" s="488">
        <f t="shared" si="239"/>
        <v>56431.92</v>
      </c>
      <c r="L1264" s="469">
        <v>1231968.08</v>
      </c>
      <c r="M1264" s="28">
        <v>1680000</v>
      </c>
      <c r="N1264" s="28">
        <v>1680000</v>
      </c>
    </row>
    <row r="1265" spans="1:14" s="20" customFormat="1">
      <c r="A1265" s="253"/>
      <c r="B1265" s="231"/>
      <c r="C1265" s="32" t="s">
        <v>47</v>
      </c>
      <c r="D1265" s="77">
        <v>22020201</v>
      </c>
      <c r="E1265" s="135" t="s">
        <v>849</v>
      </c>
      <c r="F1265" s="136">
        <v>7080000</v>
      </c>
      <c r="G1265" s="28">
        <v>7080000</v>
      </c>
      <c r="H1265" s="28"/>
      <c r="I1265" s="28"/>
      <c r="J1265" s="28">
        <v>7080000</v>
      </c>
      <c r="K1265" s="488">
        <f t="shared" si="239"/>
        <v>310104</v>
      </c>
      <c r="L1265" s="469">
        <v>6769896</v>
      </c>
      <c r="M1265" s="28">
        <v>7080000</v>
      </c>
      <c r="N1265" s="28">
        <v>7080000</v>
      </c>
    </row>
    <row r="1266" spans="1:14" s="20" customFormat="1">
      <c r="A1266" s="253"/>
      <c r="B1266" s="231"/>
      <c r="C1266" s="32" t="s">
        <v>47</v>
      </c>
      <c r="D1266" s="77">
        <v>22020203</v>
      </c>
      <c r="E1266" s="135" t="s">
        <v>779</v>
      </c>
      <c r="F1266" s="136">
        <v>920000</v>
      </c>
      <c r="G1266" s="28">
        <v>920000</v>
      </c>
      <c r="H1266" s="28"/>
      <c r="I1266" s="28"/>
      <c r="J1266" s="28">
        <v>920000</v>
      </c>
      <c r="K1266" s="488">
        <f t="shared" si="239"/>
        <v>40296</v>
      </c>
      <c r="L1266" s="469">
        <v>879704</v>
      </c>
      <c r="M1266" s="28">
        <v>920000</v>
      </c>
      <c r="N1266" s="28">
        <v>920000</v>
      </c>
    </row>
    <row r="1267" spans="1:14" s="20" customFormat="1">
      <c r="A1267" s="253"/>
      <c r="B1267" s="231"/>
      <c r="C1267" s="32" t="s">
        <v>47</v>
      </c>
      <c r="D1267" s="77">
        <v>22020205</v>
      </c>
      <c r="E1267" s="135" t="s">
        <v>850</v>
      </c>
      <c r="F1267" s="136">
        <v>1000000</v>
      </c>
      <c r="G1267" s="28">
        <v>1000000</v>
      </c>
      <c r="H1267" s="28"/>
      <c r="I1267" s="28"/>
      <c r="J1267" s="28">
        <v>1000000</v>
      </c>
      <c r="K1267" s="488">
        <f t="shared" si="239"/>
        <v>43800</v>
      </c>
      <c r="L1267" s="469">
        <v>956200</v>
      </c>
      <c r="M1267" s="28">
        <v>2000000</v>
      </c>
      <c r="N1267" s="28">
        <v>2000000</v>
      </c>
    </row>
    <row r="1268" spans="1:14" s="20" customFormat="1">
      <c r="A1268" s="253"/>
      <c r="B1268" s="231"/>
      <c r="C1268" s="32" t="s">
        <v>47</v>
      </c>
      <c r="D1268" s="77">
        <v>22020301</v>
      </c>
      <c r="E1268" s="135" t="s">
        <v>737</v>
      </c>
      <c r="F1268" s="136">
        <v>3778000</v>
      </c>
      <c r="G1268" s="28">
        <v>3778000</v>
      </c>
      <c r="H1268" s="28"/>
      <c r="I1268" s="28"/>
      <c r="J1268" s="28">
        <v>3778000</v>
      </c>
      <c r="K1268" s="488">
        <f t="shared" si="239"/>
        <v>165476.4</v>
      </c>
      <c r="L1268" s="469">
        <v>3612523.6</v>
      </c>
      <c r="M1268" s="28">
        <v>23668000</v>
      </c>
      <c r="N1268" s="28">
        <v>23668000</v>
      </c>
    </row>
    <row r="1269" spans="1:14" s="20" customFormat="1">
      <c r="A1269" s="253"/>
      <c r="B1269" s="231"/>
      <c r="C1269" s="32" t="s">
        <v>47</v>
      </c>
      <c r="D1269" s="77">
        <v>22020305</v>
      </c>
      <c r="E1269" s="135" t="s">
        <v>755</v>
      </c>
      <c r="F1269" s="136">
        <v>2077500</v>
      </c>
      <c r="G1269" s="28">
        <v>2077500</v>
      </c>
      <c r="H1269" s="28"/>
      <c r="I1269" s="28"/>
      <c r="J1269" s="28">
        <v>2077500</v>
      </c>
      <c r="K1269" s="488">
        <f t="shared" si="239"/>
        <v>90994.5</v>
      </c>
      <c r="L1269" s="469">
        <v>1986505.5</v>
      </c>
      <c r="M1269" s="28">
        <v>6077500</v>
      </c>
      <c r="N1269" s="28">
        <v>6077500</v>
      </c>
    </row>
    <row r="1270" spans="1:14" s="20" customFormat="1">
      <c r="A1270" s="253"/>
      <c r="B1270" s="231"/>
      <c r="C1270" s="32" t="s">
        <v>47</v>
      </c>
      <c r="D1270" s="77">
        <v>22020314</v>
      </c>
      <c r="E1270" s="135" t="s">
        <v>861</v>
      </c>
      <c r="F1270" s="136">
        <v>16819357</v>
      </c>
      <c r="G1270" s="28">
        <v>16819357</v>
      </c>
      <c r="H1270" s="28"/>
      <c r="I1270" s="28"/>
      <c r="J1270" s="28">
        <v>16819357</v>
      </c>
      <c r="K1270" s="488">
        <f t="shared" si="239"/>
        <v>736687.83659999992</v>
      </c>
      <c r="L1270" s="469">
        <v>16082669.1634</v>
      </c>
      <c r="M1270" s="28">
        <v>16819357</v>
      </c>
      <c r="N1270" s="28">
        <v>16819357</v>
      </c>
    </row>
    <row r="1271" spans="1:14" s="20" customFormat="1">
      <c r="A1271" s="253"/>
      <c r="B1271" s="231"/>
      <c r="C1271" s="32" t="s">
        <v>47</v>
      </c>
      <c r="D1271" s="77">
        <v>22020404</v>
      </c>
      <c r="E1271" s="135" t="s">
        <v>742</v>
      </c>
      <c r="F1271" s="136">
        <v>3182000</v>
      </c>
      <c r="G1271" s="28">
        <v>3182000</v>
      </c>
      <c r="H1271" s="28"/>
      <c r="I1271" s="28"/>
      <c r="J1271" s="28">
        <v>3182000</v>
      </c>
      <c r="K1271" s="488">
        <f t="shared" si="239"/>
        <v>139371.6</v>
      </c>
      <c r="L1271" s="469">
        <v>3042628.4000000004</v>
      </c>
      <c r="M1271" s="28">
        <v>3182000</v>
      </c>
      <c r="N1271" s="28">
        <v>3182000</v>
      </c>
    </row>
    <row r="1272" spans="1:14" s="20" customFormat="1">
      <c r="A1272" s="253"/>
      <c r="B1272" s="231"/>
      <c r="C1272" s="32" t="s">
        <v>47</v>
      </c>
      <c r="D1272" s="77">
        <v>22020405</v>
      </c>
      <c r="E1272" s="135" t="s">
        <v>743</v>
      </c>
      <c r="F1272" s="136">
        <v>1400000</v>
      </c>
      <c r="G1272" s="28">
        <v>1400000</v>
      </c>
      <c r="H1272" s="28"/>
      <c r="I1272" s="28"/>
      <c r="J1272" s="28">
        <v>1400000</v>
      </c>
      <c r="K1272" s="488">
        <f t="shared" si="239"/>
        <v>61320</v>
      </c>
      <c r="L1272" s="469">
        <v>1338680</v>
      </c>
      <c r="M1272" s="28">
        <v>1400000</v>
      </c>
      <c r="N1272" s="28">
        <v>1400000</v>
      </c>
    </row>
    <row r="1273" spans="1:14" s="20" customFormat="1">
      <c r="A1273" s="253"/>
      <c r="B1273" s="231"/>
      <c r="C1273" s="32" t="s">
        <v>47</v>
      </c>
      <c r="D1273" s="77">
        <v>22020406</v>
      </c>
      <c r="E1273" s="135" t="s">
        <v>758</v>
      </c>
      <c r="F1273" s="136">
        <f>2818500-1000000</f>
        <v>1818500</v>
      </c>
      <c r="G1273" s="28">
        <f>2818500-1000000</f>
        <v>1818500</v>
      </c>
      <c r="H1273" s="28"/>
      <c r="I1273" s="28"/>
      <c r="J1273" s="28">
        <v>1818500</v>
      </c>
      <c r="K1273" s="488">
        <f t="shared" si="239"/>
        <v>79650.3</v>
      </c>
      <c r="L1273" s="469">
        <v>1738849.7000000002</v>
      </c>
      <c r="M1273" s="28">
        <v>1225000</v>
      </c>
      <c r="N1273" s="28">
        <v>1225000</v>
      </c>
    </row>
    <row r="1274" spans="1:14" s="20" customFormat="1">
      <c r="A1274" s="253"/>
      <c r="B1274" s="231"/>
      <c r="C1274" s="32" t="s">
        <v>47</v>
      </c>
      <c r="D1274" s="77">
        <v>22020601</v>
      </c>
      <c r="E1274" s="135" t="s">
        <v>766</v>
      </c>
      <c r="F1274" s="136">
        <v>2678600</v>
      </c>
      <c r="G1274" s="28">
        <v>2678600</v>
      </c>
      <c r="H1274" s="28"/>
      <c r="I1274" s="28"/>
      <c r="J1274" s="28">
        <v>2678600</v>
      </c>
      <c r="K1274" s="488">
        <f t="shared" si="239"/>
        <v>117322.68</v>
      </c>
      <c r="L1274" s="469">
        <v>2561277.3200000003</v>
      </c>
      <c r="M1274" s="28">
        <v>2553600</v>
      </c>
      <c r="N1274" s="28">
        <v>2678600</v>
      </c>
    </row>
    <row r="1275" spans="1:14" s="20" customFormat="1">
      <c r="A1275" s="253"/>
      <c r="B1275" s="231"/>
      <c r="C1275" s="32" t="s">
        <v>47</v>
      </c>
      <c r="D1275" s="77">
        <v>22020607</v>
      </c>
      <c r="E1275" s="135" t="s">
        <v>852</v>
      </c>
      <c r="F1275" s="136">
        <v>15500000</v>
      </c>
      <c r="G1275" s="28">
        <v>15500000</v>
      </c>
      <c r="H1275" s="28"/>
      <c r="I1275" s="28"/>
      <c r="J1275" s="28">
        <v>15500000</v>
      </c>
      <c r="K1275" s="488">
        <f t="shared" si="239"/>
        <v>678900</v>
      </c>
      <c r="L1275" s="469">
        <v>14821100</v>
      </c>
      <c r="M1275" s="28">
        <v>15500000</v>
      </c>
      <c r="N1275" s="28">
        <v>15500000</v>
      </c>
    </row>
    <row r="1276" spans="1:14" s="20" customFormat="1">
      <c r="A1276" s="253"/>
      <c r="B1276" s="231"/>
      <c r="C1276" s="32" t="s">
        <v>47</v>
      </c>
      <c r="D1276" s="77">
        <v>22020801</v>
      </c>
      <c r="E1276" s="135" t="s">
        <v>747</v>
      </c>
      <c r="F1276" s="136">
        <v>638000</v>
      </c>
      <c r="G1276" s="28">
        <v>638000</v>
      </c>
      <c r="H1276" s="28"/>
      <c r="I1276" s="28"/>
      <c r="J1276" s="28">
        <v>638000</v>
      </c>
      <c r="K1276" s="488">
        <f t="shared" si="239"/>
        <v>27944.399999999998</v>
      </c>
      <c r="L1276" s="469">
        <v>610055.6</v>
      </c>
      <c r="M1276" s="28">
        <v>638000</v>
      </c>
      <c r="N1276" s="28">
        <v>638000</v>
      </c>
    </row>
    <row r="1277" spans="1:14" s="20" customFormat="1">
      <c r="A1277" s="253"/>
      <c r="B1277" s="231"/>
      <c r="C1277" s="32" t="s">
        <v>47</v>
      </c>
      <c r="D1277" s="77">
        <v>22020803</v>
      </c>
      <c r="E1277" s="135" t="s">
        <v>748</v>
      </c>
      <c r="F1277" s="136">
        <v>4320000</v>
      </c>
      <c r="G1277" s="28">
        <v>4320000</v>
      </c>
      <c r="H1277" s="28"/>
      <c r="I1277" s="28"/>
      <c r="J1277" s="28">
        <v>4320000</v>
      </c>
      <c r="K1277" s="488">
        <f t="shared" si="239"/>
        <v>189216</v>
      </c>
      <c r="L1277" s="469">
        <v>4130784</v>
      </c>
      <c r="M1277" s="28">
        <v>4320000</v>
      </c>
      <c r="N1277" s="28">
        <v>4320000</v>
      </c>
    </row>
    <row r="1278" spans="1:14" s="20" customFormat="1">
      <c r="A1278" s="253"/>
      <c r="B1278" s="231"/>
      <c r="C1278" s="32" t="s">
        <v>47</v>
      </c>
      <c r="D1278" s="77">
        <v>22020901</v>
      </c>
      <c r="E1278" s="135" t="s">
        <v>749</v>
      </c>
      <c r="F1278" s="136">
        <v>5440</v>
      </c>
      <c r="G1278" s="28">
        <v>5440</v>
      </c>
      <c r="H1278" s="28"/>
      <c r="I1278" s="28"/>
      <c r="J1278" s="28">
        <v>5440</v>
      </c>
      <c r="K1278" s="488">
        <f t="shared" si="239"/>
        <v>238.27199999999999</v>
      </c>
      <c r="L1278" s="469">
        <v>5201.7280000000001</v>
      </c>
      <c r="M1278" s="28">
        <v>5440</v>
      </c>
      <c r="N1278" s="28">
        <v>5440</v>
      </c>
    </row>
    <row r="1279" spans="1:14" s="20" customFormat="1">
      <c r="A1279" s="253"/>
      <c r="B1279" s="231"/>
      <c r="C1279" s="32" t="s">
        <v>47</v>
      </c>
      <c r="D1279" s="77">
        <v>22021007</v>
      </c>
      <c r="E1279" s="135" t="s">
        <v>856</v>
      </c>
      <c r="F1279" s="136">
        <v>3960000</v>
      </c>
      <c r="G1279" s="28">
        <v>3960000</v>
      </c>
      <c r="H1279" s="28"/>
      <c r="I1279" s="28"/>
      <c r="J1279" s="28">
        <v>3960000</v>
      </c>
      <c r="K1279" s="488">
        <f t="shared" si="239"/>
        <v>173448</v>
      </c>
      <c r="L1279" s="469">
        <v>3786552</v>
      </c>
      <c r="M1279" s="28">
        <v>3960000</v>
      </c>
      <c r="N1279" s="28">
        <v>3960000</v>
      </c>
    </row>
    <row r="1280" spans="1:14" s="20" customFormat="1">
      <c r="A1280" s="238"/>
      <c r="B1280" s="231"/>
      <c r="C1280" s="30" t="s">
        <v>1837</v>
      </c>
      <c r="D1280" s="23"/>
      <c r="E1280" s="25"/>
      <c r="F1280" s="137">
        <f>SUM(F1260:F1279)</f>
        <v>85313797</v>
      </c>
      <c r="G1280" s="114">
        <f>SUM(G1260:G1279)</f>
        <v>88165797</v>
      </c>
      <c r="H1280" s="114">
        <f t="shared" ref="H1280:I1280" si="240">SUM(H1260:H1279)</f>
        <v>0</v>
      </c>
      <c r="I1280" s="114">
        <f t="shared" si="240"/>
        <v>0</v>
      </c>
      <c r="J1280" s="114">
        <f>SUM(J1260:J1279)</f>
        <v>88165797</v>
      </c>
      <c r="K1280" s="490">
        <f t="shared" si="239"/>
        <v>3861661.9085999997</v>
      </c>
      <c r="L1280" s="468">
        <f>SUM(L1260:L1279)</f>
        <v>84304135.091399997</v>
      </c>
      <c r="M1280" s="114">
        <f>SUM(M1260:M1279)</f>
        <v>119786897</v>
      </c>
      <c r="N1280" s="114">
        <f>SUM(N1260:N1279)</f>
        <v>121462897</v>
      </c>
    </row>
    <row r="1281" spans="1:14" s="66" customFormat="1">
      <c r="A1281" s="238" t="s">
        <v>967</v>
      </c>
      <c r="B1281" s="231" t="s">
        <v>1795</v>
      </c>
      <c r="C1281" s="30"/>
      <c r="D1281" s="23"/>
      <c r="E1281" s="25"/>
      <c r="F1281" s="137">
        <f>F1280+F1259</f>
        <v>620125239.54880071</v>
      </c>
      <c r="G1281" s="114">
        <f>G1280+G1259</f>
        <v>622977239.54880071</v>
      </c>
      <c r="H1281" s="114">
        <f t="shared" ref="H1281:I1281" si="241">H1280+H1259</f>
        <v>79009298</v>
      </c>
      <c r="I1281" s="114">
        <f t="shared" si="241"/>
        <v>0</v>
      </c>
      <c r="J1281" s="114">
        <f>J1280+J1259</f>
        <v>701986537.54880071</v>
      </c>
      <c r="K1281" s="490"/>
      <c r="L1281" s="468">
        <f>L1280+L1259</f>
        <v>698124875.64020073</v>
      </c>
      <c r="M1281" s="114">
        <f>M1280+M1259</f>
        <v>708079483.80368078</v>
      </c>
      <c r="N1281" s="114">
        <f>N1280+N1259</f>
        <v>768584742.48404884</v>
      </c>
    </row>
    <row r="1282" spans="1:14" s="20" customFormat="1" ht="21">
      <c r="A1282" s="252"/>
      <c r="B1282" s="443"/>
      <c r="C1282" s="228"/>
      <c r="D1282" s="229"/>
      <c r="E1282" s="230"/>
      <c r="F1282" s="215"/>
      <c r="G1282" s="296"/>
      <c r="H1282" s="296"/>
      <c r="I1282" s="296"/>
      <c r="J1282" s="28"/>
      <c r="K1282" s="488"/>
      <c r="L1282" s="468"/>
      <c r="M1282" s="296"/>
      <c r="N1282" s="296"/>
    </row>
    <row r="1283" spans="1:14" s="20" customFormat="1" ht="15.75">
      <c r="A1283" s="238" t="s">
        <v>968</v>
      </c>
      <c r="B1283" s="231" t="s">
        <v>101</v>
      </c>
      <c r="C1283" s="32" t="s">
        <v>46</v>
      </c>
      <c r="D1283" s="403" t="s">
        <v>788</v>
      </c>
      <c r="E1283" s="404" t="s">
        <v>725</v>
      </c>
      <c r="F1283" s="218">
        <v>536300363.63999999</v>
      </c>
      <c r="G1283" s="402">
        <v>536300363.63999999</v>
      </c>
      <c r="H1283" s="402"/>
      <c r="I1283" s="402"/>
      <c r="J1283" s="28">
        <v>536300363.63999999</v>
      </c>
      <c r="K1283" s="488"/>
      <c r="L1283" s="467">
        <v>536300363.63999999</v>
      </c>
      <c r="M1283" s="402">
        <v>536300363.63999999</v>
      </c>
      <c r="N1283" s="402">
        <v>536300363.63999999</v>
      </c>
    </row>
    <row r="1284" spans="1:14" s="20" customFormat="1" ht="15.75">
      <c r="A1284" s="238"/>
      <c r="B1284" s="231"/>
      <c r="C1284" s="32" t="s">
        <v>46</v>
      </c>
      <c r="D1284" s="403">
        <v>21020141</v>
      </c>
      <c r="E1284" s="404" t="s">
        <v>970</v>
      </c>
      <c r="F1284" s="222">
        <v>10523.2</v>
      </c>
      <c r="G1284" s="402">
        <v>10523.2</v>
      </c>
      <c r="H1284" s="402"/>
      <c r="I1284" s="402"/>
      <c r="J1284" s="28">
        <v>10523.2</v>
      </c>
      <c r="K1284" s="488"/>
      <c r="L1284" s="467">
        <v>10523.2</v>
      </c>
      <c r="M1284" s="402">
        <v>10523.2</v>
      </c>
      <c r="N1284" s="402">
        <v>10523.2</v>
      </c>
    </row>
    <row r="1285" spans="1:14" s="20" customFormat="1" ht="15.75">
      <c r="A1285" s="253"/>
      <c r="B1285" s="231"/>
      <c r="C1285" s="32" t="s">
        <v>46</v>
      </c>
      <c r="D1285" s="403">
        <v>21020102</v>
      </c>
      <c r="E1285" s="404" t="s">
        <v>727</v>
      </c>
      <c r="F1285" s="222">
        <v>155983.5</v>
      </c>
      <c r="G1285" s="402">
        <v>155983.5</v>
      </c>
      <c r="H1285" s="402"/>
      <c r="I1285" s="402"/>
      <c r="J1285" s="28">
        <v>155983.5</v>
      </c>
      <c r="K1285" s="488"/>
      <c r="L1285" s="467">
        <v>155983.5</v>
      </c>
      <c r="M1285" s="402">
        <v>155983.5</v>
      </c>
      <c r="N1285" s="402">
        <v>155983.5</v>
      </c>
    </row>
    <row r="1286" spans="1:14" s="20" customFormat="1" ht="15.75">
      <c r="A1286" s="253"/>
      <c r="B1286" s="231"/>
      <c r="C1286" s="32" t="s">
        <v>46</v>
      </c>
      <c r="D1286" s="403">
        <v>21020103</v>
      </c>
      <c r="E1286" s="404" t="s">
        <v>728</v>
      </c>
      <c r="F1286" s="222">
        <v>374360.4</v>
      </c>
      <c r="G1286" s="402">
        <v>374360.4</v>
      </c>
      <c r="H1286" s="402"/>
      <c r="I1286" s="402"/>
      <c r="J1286" s="28">
        <v>374360.4</v>
      </c>
      <c r="K1286" s="488"/>
      <c r="L1286" s="467">
        <v>374360.4</v>
      </c>
      <c r="M1286" s="402">
        <v>374360.4</v>
      </c>
      <c r="N1286" s="402">
        <v>374360.4</v>
      </c>
    </row>
    <row r="1287" spans="1:14" s="20" customFormat="1" ht="15.75">
      <c r="A1287" s="253"/>
      <c r="B1287" s="231"/>
      <c r="C1287" s="32" t="s">
        <v>46</v>
      </c>
      <c r="D1287" s="403">
        <v>21020104</v>
      </c>
      <c r="E1287" s="404" t="s">
        <v>729</v>
      </c>
      <c r="F1287" s="222">
        <v>374360.7</v>
      </c>
      <c r="G1287" s="402">
        <v>374360.7</v>
      </c>
      <c r="H1287" s="402"/>
      <c r="I1287" s="402"/>
      <c r="J1287" s="28">
        <v>374360.7</v>
      </c>
      <c r="K1287" s="488"/>
      <c r="L1287" s="467">
        <v>374360.7</v>
      </c>
      <c r="M1287" s="402">
        <v>374360.7</v>
      </c>
      <c r="N1287" s="402">
        <v>374360.7</v>
      </c>
    </row>
    <row r="1288" spans="1:14" s="20" customFormat="1" ht="15.75">
      <c r="A1288" s="253"/>
      <c r="B1288" s="231"/>
      <c r="C1288" s="32" t="s">
        <v>46</v>
      </c>
      <c r="D1288" s="403">
        <v>21020105</v>
      </c>
      <c r="E1288" s="404" t="s">
        <v>730</v>
      </c>
      <c r="F1288" s="222">
        <v>1996588.8</v>
      </c>
      <c r="G1288" s="402">
        <v>1996588.8</v>
      </c>
      <c r="H1288" s="402"/>
      <c r="I1288" s="402"/>
      <c r="J1288" s="28">
        <v>1996588.8</v>
      </c>
      <c r="K1288" s="488"/>
      <c r="L1288" s="467">
        <v>1996588.8</v>
      </c>
      <c r="M1288" s="402">
        <v>1996588.8</v>
      </c>
      <c r="N1288" s="402">
        <v>1996588.8</v>
      </c>
    </row>
    <row r="1289" spans="1:14" s="20" customFormat="1" ht="15.75">
      <c r="A1289" s="253"/>
      <c r="B1289" s="231"/>
      <c r="C1289" s="32" t="s">
        <v>46</v>
      </c>
      <c r="D1289" s="403">
        <v>21020106</v>
      </c>
      <c r="E1289" s="404" t="s">
        <v>731</v>
      </c>
      <c r="F1289" s="222">
        <v>53630024.390000001</v>
      </c>
      <c r="G1289" s="402">
        <v>53630024.390000001</v>
      </c>
      <c r="H1289" s="402"/>
      <c r="I1289" s="402"/>
      <c r="J1289" s="28">
        <v>53630024.390000001</v>
      </c>
      <c r="K1289" s="488"/>
      <c r="L1289" s="467">
        <v>53630024.390000001</v>
      </c>
      <c r="M1289" s="402">
        <v>53630024.390000001</v>
      </c>
      <c r="N1289" s="402">
        <v>53630024.390000001</v>
      </c>
    </row>
    <row r="1290" spans="1:14" s="20" customFormat="1" ht="15.75">
      <c r="A1290" s="253"/>
      <c r="B1290" s="231"/>
      <c r="C1290" s="32" t="s">
        <v>46</v>
      </c>
      <c r="D1290" s="403">
        <v>21020107</v>
      </c>
      <c r="E1290" s="404" t="s">
        <v>732</v>
      </c>
      <c r="F1290" s="222">
        <v>4802617.8</v>
      </c>
      <c r="G1290" s="402">
        <v>4802617.8</v>
      </c>
      <c r="H1290" s="402"/>
      <c r="I1290" s="402"/>
      <c r="J1290" s="28">
        <v>4802617.8</v>
      </c>
      <c r="K1290" s="488"/>
      <c r="L1290" s="467">
        <v>4802617.8</v>
      </c>
      <c r="M1290" s="402">
        <v>4802617.8</v>
      </c>
      <c r="N1290" s="402">
        <v>4802617.8</v>
      </c>
    </row>
    <row r="1291" spans="1:14" s="20" customFormat="1" ht="15.75">
      <c r="A1291" s="253"/>
      <c r="B1291" s="231"/>
      <c r="C1291" s="32" t="s">
        <v>46</v>
      </c>
      <c r="D1291" s="403">
        <v>21020126</v>
      </c>
      <c r="E1291" s="404" t="s">
        <v>969</v>
      </c>
      <c r="F1291" s="222">
        <v>1478889</v>
      </c>
      <c r="G1291" s="402">
        <v>1478889</v>
      </c>
      <c r="H1291" s="402"/>
      <c r="I1291" s="402"/>
      <c r="J1291" s="28">
        <v>1478889</v>
      </c>
      <c r="K1291" s="488"/>
      <c r="L1291" s="467">
        <v>1478889</v>
      </c>
      <c r="M1291" s="402">
        <v>1478889</v>
      </c>
      <c r="N1291" s="402">
        <v>1478889</v>
      </c>
    </row>
    <row r="1292" spans="1:14" s="20" customFormat="1" ht="15.75">
      <c r="A1292" s="253"/>
      <c r="B1292" s="231"/>
      <c r="C1292" s="32" t="s">
        <v>46</v>
      </c>
      <c r="D1292" s="403">
        <v>21020141</v>
      </c>
      <c r="E1292" s="404" t="s">
        <v>970</v>
      </c>
      <c r="F1292" s="222">
        <v>10523.2</v>
      </c>
      <c r="G1292" s="402">
        <v>10523.2</v>
      </c>
      <c r="H1292" s="402"/>
      <c r="I1292" s="402"/>
      <c r="J1292" s="28">
        <v>10523.2</v>
      </c>
      <c r="K1292" s="488"/>
      <c r="L1292" s="467">
        <v>10523.2</v>
      </c>
      <c r="M1292" s="402">
        <v>10523.2</v>
      </c>
      <c r="N1292" s="402">
        <v>10523.2</v>
      </c>
    </row>
    <row r="1293" spans="1:14" s="20" customFormat="1" ht="15.75">
      <c r="A1293" s="253"/>
      <c r="B1293" s="231"/>
      <c r="C1293" s="32" t="s">
        <v>46</v>
      </c>
      <c r="D1293" s="403">
        <v>21020151</v>
      </c>
      <c r="E1293" s="404" t="s">
        <v>894</v>
      </c>
      <c r="F1293" s="222">
        <v>56065860</v>
      </c>
      <c r="G1293" s="402">
        <v>56065860</v>
      </c>
      <c r="H1293" s="402"/>
      <c r="I1293" s="402"/>
      <c r="J1293" s="28">
        <v>56065860</v>
      </c>
      <c r="K1293" s="488"/>
      <c r="L1293" s="467">
        <v>56065860</v>
      </c>
      <c r="M1293" s="402">
        <v>56065860</v>
      </c>
      <c r="N1293" s="402">
        <v>56065860</v>
      </c>
    </row>
    <row r="1294" spans="1:14" s="20" customFormat="1">
      <c r="A1294" s="238"/>
      <c r="B1294" s="231"/>
      <c r="C1294" s="30" t="s">
        <v>1842</v>
      </c>
      <c r="D1294" s="23"/>
      <c r="E1294" s="25"/>
      <c r="F1294" s="137">
        <f>SUM(F1283:F1293)</f>
        <v>655200094.62999988</v>
      </c>
      <c r="G1294" s="114">
        <f>SUM(G1283:G1293)</f>
        <v>655200094.62999988</v>
      </c>
      <c r="H1294" s="114">
        <f t="shared" ref="H1294:I1294" si="242">SUM(H1283:H1293)</f>
        <v>0</v>
      </c>
      <c r="I1294" s="114">
        <f t="shared" si="242"/>
        <v>0</v>
      </c>
      <c r="J1294" s="114">
        <f>SUM(J1283:J1293)</f>
        <v>655200094.62999988</v>
      </c>
      <c r="K1294" s="490"/>
      <c r="L1294" s="468">
        <f>SUM(L1283:L1293)</f>
        <v>655200094.62999988</v>
      </c>
      <c r="M1294" s="114">
        <f>SUM(M1283:M1293)</f>
        <v>655200094.62999988</v>
      </c>
      <c r="N1294" s="114">
        <f>SUM(N1283:N1293)</f>
        <v>655200094.62999988</v>
      </c>
    </row>
    <row r="1295" spans="1:14" s="20" customFormat="1">
      <c r="A1295" s="253"/>
      <c r="B1295" s="231"/>
      <c r="C1295" s="32" t="s">
        <v>47</v>
      </c>
      <c r="D1295" s="77">
        <v>22020105</v>
      </c>
      <c r="E1295" s="135" t="s">
        <v>1733</v>
      </c>
      <c r="F1295" s="138">
        <v>3500000</v>
      </c>
      <c r="G1295" s="297">
        <v>3500000</v>
      </c>
      <c r="H1295" s="297"/>
      <c r="I1295" s="297"/>
      <c r="J1295" s="28">
        <v>3500000</v>
      </c>
      <c r="K1295" s="488">
        <f>J1295*4.38%</f>
        <v>153300</v>
      </c>
      <c r="L1295" s="469">
        <v>3346700</v>
      </c>
      <c r="M1295" s="297">
        <v>3500000</v>
      </c>
      <c r="N1295" s="297">
        <v>4500000</v>
      </c>
    </row>
    <row r="1296" spans="1:14" s="20" customFormat="1">
      <c r="A1296" s="253"/>
      <c r="B1296" s="231"/>
      <c r="C1296" s="32" t="s">
        <v>47</v>
      </c>
      <c r="D1296" s="77">
        <v>22020106</v>
      </c>
      <c r="E1296" s="135" t="s">
        <v>846</v>
      </c>
      <c r="F1296" s="138"/>
      <c r="G1296" s="28">
        <v>7700000</v>
      </c>
      <c r="H1296" s="28"/>
      <c r="I1296" s="28"/>
      <c r="J1296" s="28">
        <v>7700000</v>
      </c>
      <c r="K1296" s="488">
        <f t="shared" ref="K1296:K1316" si="243">J1296*4.38%</f>
        <v>337260</v>
      </c>
      <c r="L1296" s="469">
        <v>7362740</v>
      </c>
      <c r="M1296" s="28">
        <f>G1296*10%+G1296</f>
        <v>8470000</v>
      </c>
      <c r="N1296" s="28">
        <f>M1296*10%+M1296</f>
        <v>9317000</v>
      </c>
    </row>
    <row r="1297" spans="1:14" s="20" customFormat="1">
      <c r="A1297" s="253"/>
      <c r="B1297" s="231"/>
      <c r="C1297" s="32" t="s">
        <v>47</v>
      </c>
      <c r="D1297" s="77">
        <v>22020112</v>
      </c>
      <c r="E1297" s="135" t="s">
        <v>848</v>
      </c>
      <c r="F1297" s="138"/>
      <c r="G1297" s="28">
        <v>6400000</v>
      </c>
      <c r="H1297" s="28"/>
      <c r="I1297" s="28"/>
      <c r="J1297" s="28">
        <v>6400000</v>
      </c>
      <c r="K1297" s="488">
        <f t="shared" si="243"/>
        <v>280320</v>
      </c>
      <c r="L1297" s="469">
        <v>6119680</v>
      </c>
      <c r="M1297" s="28">
        <f>G1297*10%+G1297</f>
        <v>7040000</v>
      </c>
      <c r="N1297" s="28">
        <f>M1297*10%+M1297</f>
        <v>7744000</v>
      </c>
    </row>
    <row r="1298" spans="1:14" s="20" customFormat="1">
      <c r="A1298" s="253"/>
      <c r="B1298" s="231"/>
      <c r="C1298" s="32" t="s">
        <v>47</v>
      </c>
      <c r="D1298" s="77">
        <v>22020108</v>
      </c>
      <c r="E1298" s="135" t="s">
        <v>812</v>
      </c>
      <c r="F1298" s="138">
        <v>3500000</v>
      </c>
      <c r="G1298" s="297">
        <v>3500000</v>
      </c>
      <c r="H1298" s="297"/>
      <c r="I1298" s="297"/>
      <c r="J1298" s="28">
        <v>3500000</v>
      </c>
      <c r="K1298" s="488">
        <f t="shared" si="243"/>
        <v>153300</v>
      </c>
      <c r="L1298" s="469">
        <v>3346700</v>
      </c>
      <c r="M1298" s="297">
        <v>3500000</v>
      </c>
      <c r="N1298" s="297">
        <v>4500000</v>
      </c>
    </row>
    <row r="1299" spans="1:14" s="20" customFormat="1">
      <c r="A1299" s="253"/>
      <c r="B1299" s="231"/>
      <c r="C1299" s="32" t="s">
        <v>47</v>
      </c>
      <c r="D1299" s="77">
        <v>22020301</v>
      </c>
      <c r="E1299" s="135" t="s">
        <v>737</v>
      </c>
      <c r="F1299" s="138">
        <v>7500000</v>
      </c>
      <c r="G1299" s="297">
        <v>7500000</v>
      </c>
      <c r="H1299" s="297"/>
      <c r="I1299" s="297"/>
      <c r="J1299" s="28">
        <v>7500000</v>
      </c>
      <c r="K1299" s="488">
        <f t="shared" si="243"/>
        <v>328500</v>
      </c>
      <c r="L1299" s="469">
        <v>7171500</v>
      </c>
      <c r="M1299" s="297">
        <v>3500000</v>
      </c>
      <c r="N1299" s="297">
        <v>4500000</v>
      </c>
    </row>
    <row r="1300" spans="1:14" s="20" customFormat="1">
      <c r="A1300" s="253"/>
      <c r="B1300" s="231"/>
      <c r="C1300" s="32" t="s">
        <v>47</v>
      </c>
      <c r="D1300" s="77">
        <v>22020402</v>
      </c>
      <c r="E1300" s="135" t="s">
        <v>757</v>
      </c>
      <c r="F1300" s="136">
        <v>5050000</v>
      </c>
      <c r="G1300" s="28">
        <v>5050000</v>
      </c>
      <c r="H1300" s="28"/>
      <c r="I1300" s="28"/>
      <c r="J1300" s="28">
        <v>5050000</v>
      </c>
      <c r="K1300" s="488">
        <f t="shared" si="243"/>
        <v>221190</v>
      </c>
      <c r="L1300" s="469">
        <v>4828810</v>
      </c>
      <c r="M1300" s="297">
        <v>3500000</v>
      </c>
      <c r="N1300" s="297">
        <v>4500000</v>
      </c>
    </row>
    <row r="1301" spans="1:14" s="20" customFormat="1">
      <c r="A1301" s="253"/>
      <c r="B1301" s="231"/>
      <c r="C1301" s="32" t="s">
        <v>47</v>
      </c>
      <c r="D1301" s="77">
        <v>22020405</v>
      </c>
      <c r="E1301" s="135" t="s">
        <v>743</v>
      </c>
      <c r="F1301" s="136">
        <v>4800000</v>
      </c>
      <c r="G1301" s="28">
        <v>4800000</v>
      </c>
      <c r="H1301" s="28"/>
      <c r="I1301" s="28"/>
      <c r="J1301" s="28">
        <v>4800000</v>
      </c>
      <c r="K1301" s="488">
        <f t="shared" si="243"/>
        <v>210240</v>
      </c>
      <c r="L1301" s="469">
        <v>4589760</v>
      </c>
      <c r="M1301" s="28">
        <v>4800000</v>
      </c>
      <c r="N1301" s="28">
        <v>4800000</v>
      </c>
    </row>
    <row r="1302" spans="1:14" s="20" customFormat="1">
      <c r="A1302" s="253"/>
      <c r="B1302" s="231"/>
      <c r="C1302" s="32" t="s">
        <v>47</v>
      </c>
      <c r="D1302" s="77">
        <v>22020406</v>
      </c>
      <c r="E1302" s="135" t="s">
        <v>758</v>
      </c>
      <c r="F1302" s="136">
        <v>13187500</v>
      </c>
      <c r="G1302" s="28">
        <f>13187500-7000000</f>
        <v>6187500</v>
      </c>
      <c r="H1302" s="28"/>
      <c r="I1302" s="28"/>
      <c r="J1302" s="28">
        <v>6187500</v>
      </c>
      <c r="K1302" s="488">
        <f t="shared" si="243"/>
        <v>271012.5</v>
      </c>
      <c r="L1302" s="469">
        <v>5916487.5</v>
      </c>
      <c r="M1302" s="28">
        <v>12762500</v>
      </c>
      <c r="N1302" s="28">
        <v>12762500</v>
      </c>
    </row>
    <row r="1303" spans="1:14" s="20" customFormat="1">
      <c r="A1303" s="253"/>
      <c r="B1303" s="231"/>
      <c r="C1303" s="32" t="s">
        <v>47</v>
      </c>
      <c r="D1303" s="77">
        <v>22020601</v>
      </c>
      <c r="E1303" s="135" t="s">
        <v>766</v>
      </c>
      <c r="F1303" s="136">
        <v>10380000</v>
      </c>
      <c r="G1303" s="28">
        <v>10380000</v>
      </c>
      <c r="H1303" s="28"/>
      <c r="I1303" s="28"/>
      <c r="J1303" s="28">
        <v>10380000</v>
      </c>
      <c r="K1303" s="488">
        <f t="shared" si="243"/>
        <v>454644</v>
      </c>
      <c r="L1303" s="469">
        <v>9925356</v>
      </c>
      <c r="M1303" s="28">
        <v>10380000</v>
      </c>
      <c r="N1303" s="28">
        <v>10380000</v>
      </c>
    </row>
    <row r="1304" spans="1:14" s="20" customFormat="1">
      <c r="A1304" s="253"/>
      <c r="B1304" s="231"/>
      <c r="C1304" s="32" t="s">
        <v>47</v>
      </c>
      <c r="D1304" s="77">
        <v>22020602</v>
      </c>
      <c r="E1304" s="135" t="s">
        <v>767</v>
      </c>
      <c r="F1304" s="136">
        <v>1500000</v>
      </c>
      <c r="G1304" s="28">
        <v>1500000</v>
      </c>
      <c r="H1304" s="28"/>
      <c r="I1304" s="28"/>
      <c r="J1304" s="28">
        <v>1500000</v>
      </c>
      <c r="K1304" s="488">
        <f t="shared" si="243"/>
        <v>65700</v>
      </c>
      <c r="L1304" s="469">
        <v>1434300</v>
      </c>
      <c r="M1304" s="28">
        <v>1500000</v>
      </c>
      <c r="N1304" s="28">
        <v>1500000</v>
      </c>
    </row>
    <row r="1305" spans="1:14" s="20" customFormat="1">
      <c r="A1305" s="253"/>
      <c r="B1305" s="231"/>
      <c r="C1305" s="32" t="s">
        <v>47</v>
      </c>
      <c r="D1305" s="77">
        <v>22020702</v>
      </c>
      <c r="E1305" s="135" t="s">
        <v>964</v>
      </c>
      <c r="F1305" s="136">
        <v>1000000</v>
      </c>
      <c r="G1305" s="28">
        <v>1000000</v>
      </c>
      <c r="H1305" s="28"/>
      <c r="I1305" s="28"/>
      <c r="J1305" s="28">
        <v>1000000</v>
      </c>
      <c r="K1305" s="488">
        <f t="shared" si="243"/>
        <v>43800</v>
      </c>
      <c r="L1305" s="469">
        <v>956200</v>
      </c>
      <c r="M1305" s="28">
        <v>1000000</v>
      </c>
      <c r="N1305" s="28">
        <v>1000000</v>
      </c>
    </row>
    <row r="1306" spans="1:14" s="20" customFormat="1">
      <c r="A1306" s="253"/>
      <c r="B1306" s="231"/>
      <c r="C1306" s="32" t="s">
        <v>47</v>
      </c>
      <c r="D1306" s="77">
        <v>22020801</v>
      </c>
      <c r="E1306" s="135" t="s">
        <v>747</v>
      </c>
      <c r="F1306" s="136">
        <v>6960000</v>
      </c>
      <c r="G1306" s="28">
        <v>6960000</v>
      </c>
      <c r="H1306" s="28"/>
      <c r="I1306" s="28"/>
      <c r="J1306" s="28">
        <v>6960000</v>
      </c>
      <c r="K1306" s="488">
        <f t="shared" si="243"/>
        <v>304848</v>
      </c>
      <c r="L1306" s="469">
        <v>6655152</v>
      </c>
      <c r="M1306" s="28">
        <v>6960000</v>
      </c>
      <c r="N1306" s="28">
        <v>6960000</v>
      </c>
    </row>
    <row r="1307" spans="1:14" s="20" customFormat="1">
      <c r="A1307" s="253"/>
      <c r="B1307" s="231"/>
      <c r="C1307" s="32" t="s">
        <v>47</v>
      </c>
      <c r="D1307" s="77">
        <v>22020803</v>
      </c>
      <c r="E1307" s="135" t="s">
        <v>748</v>
      </c>
      <c r="F1307" s="136">
        <v>3268800</v>
      </c>
      <c r="G1307" s="28">
        <v>3268800</v>
      </c>
      <c r="H1307" s="28"/>
      <c r="I1307" s="28"/>
      <c r="J1307" s="28">
        <v>3268800</v>
      </c>
      <c r="K1307" s="488">
        <f t="shared" si="243"/>
        <v>143173.44</v>
      </c>
      <c r="L1307" s="469">
        <v>3125626.56</v>
      </c>
      <c r="M1307" s="28">
        <v>3268800</v>
      </c>
      <c r="N1307" s="28">
        <v>3268800</v>
      </c>
    </row>
    <row r="1308" spans="1:14" s="20" customFormat="1">
      <c r="A1308" s="253"/>
      <c r="B1308" s="231"/>
      <c r="C1308" s="32" t="s">
        <v>47</v>
      </c>
      <c r="D1308" s="77">
        <v>22020901</v>
      </c>
      <c r="E1308" s="135" t="s">
        <v>749</v>
      </c>
      <c r="F1308" s="136">
        <v>4140</v>
      </c>
      <c r="G1308" s="28">
        <v>4140</v>
      </c>
      <c r="H1308" s="28"/>
      <c r="I1308" s="28"/>
      <c r="J1308" s="28">
        <v>4140</v>
      </c>
      <c r="K1308" s="488">
        <f t="shared" si="243"/>
        <v>181.33199999999999</v>
      </c>
      <c r="L1308" s="469">
        <v>3958.6680000000001</v>
      </c>
      <c r="M1308" s="28">
        <v>4140</v>
      </c>
      <c r="N1308" s="28">
        <v>4140</v>
      </c>
    </row>
    <row r="1309" spans="1:14" s="20" customFormat="1">
      <c r="A1309" s="253"/>
      <c r="B1309" s="231"/>
      <c r="C1309" s="32" t="s">
        <v>47</v>
      </c>
      <c r="D1309" s="77">
        <v>22021001</v>
      </c>
      <c r="E1309" s="135" t="s">
        <v>772</v>
      </c>
      <c r="F1309" s="136">
        <v>1755400</v>
      </c>
      <c r="G1309" s="28">
        <v>1755400</v>
      </c>
      <c r="H1309" s="28"/>
      <c r="I1309" s="28"/>
      <c r="J1309" s="28">
        <v>1755400</v>
      </c>
      <c r="K1309" s="488">
        <f t="shared" si="243"/>
        <v>76886.52</v>
      </c>
      <c r="L1309" s="469">
        <v>1678513.48</v>
      </c>
      <c r="M1309" s="28">
        <v>1755400</v>
      </c>
      <c r="N1309" s="28">
        <v>1755400</v>
      </c>
    </row>
    <row r="1310" spans="1:14" s="20" customFormat="1">
      <c r="A1310" s="253"/>
      <c r="B1310" s="231"/>
      <c r="C1310" s="32" t="s">
        <v>47</v>
      </c>
      <c r="D1310" s="77">
        <v>22021005</v>
      </c>
      <c r="E1310" s="135" t="s">
        <v>971</v>
      </c>
      <c r="F1310" s="136">
        <v>2000000</v>
      </c>
      <c r="G1310" s="28">
        <v>2000000</v>
      </c>
      <c r="H1310" s="28"/>
      <c r="I1310" s="28"/>
      <c r="J1310" s="28">
        <v>2000000</v>
      </c>
      <c r="K1310" s="488">
        <f t="shared" si="243"/>
        <v>87600</v>
      </c>
      <c r="L1310" s="469">
        <v>1912400</v>
      </c>
      <c r="M1310" s="28">
        <v>2000000</v>
      </c>
      <c r="N1310" s="28">
        <v>2000000</v>
      </c>
    </row>
    <row r="1311" spans="1:14" s="20" customFormat="1">
      <c r="A1311" s="253"/>
      <c r="B1311" s="231"/>
      <c r="C1311" s="32" t="s">
        <v>47</v>
      </c>
      <c r="D1311" s="77">
        <v>22021007</v>
      </c>
      <c r="E1311" s="135" t="s">
        <v>856</v>
      </c>
      <c r="F1311" s="136">
        <v>2000000</v>
      </c>
      <c r="G1311" s="28">
        <v>2000000</v>
      </c>
      <c r="H1311" s="28"/>
      <c r="I1311" s="28"/>
      <c r="J1311" s="28">
        <v>2000000</v>
      </c>
      <c r="K1311" s="488">
        <f t="shared" si="243"/>
        <v>87600</v>
      </c>
      <c r="L1311" s="469">
        <v>1912400</v>
      </c>
      <c r="M1311" s="28">
        <v>2000000</v>
      </c>
      <c r="N1311" s="28">
        <v>2000000</v>
      </c>
    </row>
    <row r="1312" spans="1:14" s="20" customFormat="1">
      <c r="A1312" s="253"/>
      <c r="B1312" s="231"/>
      <c r="C1312" s="32" t="s">
        <v>47</v>
      </c>
      <c r="D1312" s="77">
        <v>22021019</v>
      </c>
      <c r="E1312" s="135" t="s">
        <v>965</v>
      </c>
      <c r="F1312" s="136">
        <v>18000000</v>
      </c>
      <c r="G1312" s="28">
        <v>18000000</v>
      </c>
      <c r="H1312" s="28"/>
      <c r="I1312" s="28"/>
      <c r="J1312" s="28">
        <v>18000000</v>
      </c>
      <c r="K1312" s="488">
        <f t="shared" si="243"/>
        <v>788400</v>
      </c>
      <c r="L1312" s="469">
        <v>17211600</v>
      </c>
      <c r="M1312" s="28">
        <v>18000000</v>
      </c>
      <c r="N1312" s="28">
        <v>18000000</v>
      </c>
    </row>
    <row r="1313" spans="1:14" s="20" customFormat="1">
      <c r="A1313" s="253"/>
      <c r="B1313" s="231"/>
      <c r="C1313" s="32" t="s">
        <v>47</v>
      </c>
      <c r="D1313" s="77">
        <v>22021026</v>
      </c>
      <c r="E1313" s="135" t="s">
        <v>751</v>
      </c>
      <c r="F1313" s="136">
        <v>2240000</v>
      </c>
      <c r="G1313" s="28">
        <v>2240000</v>
      </c>
      <c r="H1313" s="28"/>
      <c r="I1313" s="28"/>
      <c r="J1313" s="28">
        <v>2240000</v>
      </c>
      <c r="K1313" s="488">
        <f t="shared" si="243"/>
        <v>98112</v>
      </c>
      <c r="L1313" s="469">
        <v>2141888</v>
      </c>
      <c r="M1313" s="28">
        <v>2240000</v>
      </c>
      <c r="N1313" s="28">
        <v>2240000</v>
      </c>
    </row>
    <row r="1314" spans="1:14" s="20" customFormat="1">
      <c r="A1314" s="253"/>
      <c r="B1314" s="231"/>
      <c r="C1314" s="32" t="s">
        <v>47</v>
      </c>
      <c r="D1314" s="77">
        <v>22021029</v>
      </c>
      <c r="E1314" s="135" t="s">
        <v>867</v>
      </c>
      <c r="F1314" s="136">
        <v>500000</v>
      </c>
      <c r="G1314" s="28">
        <v>500000</v>
      </c>
      <c r="H1314" s="28"/>
      <c r="I1314" s="28"/>
      <c r="J1314" s="28">
        <v>500000</v>
      </c>
      <c r="K1314" s="488">
        <f t="shared" si="243"/>
        <v>21900</v>
      </c>
      <c r="L1314" s="469">
        <v>478100</v>
      </c>
      <c r="M1314" s="28">
        <v>500000</v>
      </c>
      <c r="N1314" s="28">
        <v>500000</v>
      </c>
    </row>
    <row r="1315" spans="1:14" s="20" customFormat="1">
      <c r="A1315" s="253"/>
      <c r="B1315" s="231"/>
      <c r="C1315" s="32" t="s">
        <v>47</v>
      </c>
      <c r="D1315" s="77">
        <v>22020314</v>
      </c>
      <c r="E1315" s="135" t="s">
        <v>861</v>
      </c>
      <c r="F1315" s="136"/>
      <c r="G1315" s="28"/>
      <c r="H1315" s="28">
        <v>28159656</v>
      </c>
      <c r="I1315" s="28"/>
      <c r="J1315" s="28">
        <v>28159656</v>
      </c>
      <c r="K1315" s="488">
        <f t="shared" si="243"/>
        <v>1233392.9328000001</v>
      </c>
      <c r="L1315" s="469">
        <v>26926263.067200001</v>
      </c>
      <c r="M1315" s="28"/>
      <c r="N1315" s="28"/>
    </row>
    <row r="1316" spans="1:14" s="20" customFormat="1" ht="30">
      <c r="A1316" s="253"/>
      <c r="B1316" s="231"/>
      <c r="C1316" s="32" t="s">
        <v>47</v>
      </c>
      <c r="D1316" s="77">
        <v>22020401</v>
      </c>
      <c r="E1316" s="240" t="s">
        <v>741</v>
      </c>
      <c r="F1316" s="136"/>
      <c r="G1316" s="28"/>
      <c r="H1316" s="28">
        <v>3816000</v>
      </c>
      <c r="I1316" s="28"/>
      <c r="J1316" s="28">
        <v>3816000</v>
      </c>
      <c r="K1316" s="488">
        <f t="shared" si="243"/>
        <v>167140.79999999999</v>
      </c>
      <c r="L1316" s="469">
        <v>3648859.2</v>
      </c>
      <c r="M1316" s="28"/>
      <c r="N1316" s="28"/>
    </row>
    <row r="1317" spans="1:14" s="20" customFormat="1">
      <c r="A1317" s="238"/>
      <c r="B1317" s="231"/>
      <c r="C1317" s="30" t="s">
        <v>1837</v>
      </c>
      <c r="D1317" s="23"/>
      <c r="E1317" s="25"/>
      <c r="F1317" s="137">
        <f>SUM(F1295:F1314)</f>
        <v>87145840</v>
      </c>
      <c r="G1317" s="114">
        <f>SUM(G1295:G1316)</f>
        <v>94245840</v>
      </c>
      <c r="H1317" s="114">
        <f t="shared" ref="H1317:I1317" si="244">SUM(H1295:H1316)</f>
        <v>31975656</v>
      </c>
      <c r="I1317" s="114">
        <f t="shared" si="244"/>
        <v>0</v>
      </c>
      <c r="J1317" s="114">
        <f>SUM(J1295:J1316)</f>
        <v>126221496</v>
      </c>
      <c r="K1317" s="490">
        <f>SUM(K1295:K1316)</f>
        <v>5528501.5247999998</v>
      </c>
      <c r="L1317" s="468">
        <f>SUM(L1295:L1316)</f>
        <v>120692994.47520001</v>
      </c>
      <c r="M1317" s="114">
        <f>SUM(M1295:M1314)</f>
        <v>96680840</v>
      </c>
      <c r="N1317" s="114">
        <f>SUM(N1295:N1314)</f>
        <v>102231840</v>
      </c>
    </row>
    <row r="1318" spans="1:14" s="66" customFormat="1">
      <c r="A1318" s="238" t="s">
        <v>968</v>
      </c>
      <c r="B1318" s="231" t="s">
        <v>1796</v>
      </c>
      <c r="C1318" s="30"/>
      <c r="D1318" s="23"/>
      <c r="E1318" s="25"/>
      <c r="F1318" s="137">
        <f>F1317+F1294</f>
        <v>742345934.62999988</v>
      </c>
      <c r="G1318" s="114">
        <f>G1317+G1294</f>
        <v>749445934.62999988</v>
      </c>
      <c r="H1318" s="114">
        <f t="shared" ref="H1318:I1318" si="245">H1317+H1294</f>
        <v>31975656</v>
      </c>
      <c r="I1318" s="114">
        <f t="shared" si="245"/>
        <v>0</v>
      </c>
      <c r="J1318" s="114">
        <f>J1317+J1294</f>
        <v>781421590.62999988</v>
      </c>
      <c r="K1318" s="490"/>
      <c r="L1318" s="468">
        <f>L1317+L1294</f>
        <v>775893089.10519993</v>
      </c>
      <c r="M1318" s="114">
        <f>M1317+M1294</f>
        <v>751880934.62999988</v>
      </c>
      <c r="N1318" s="114">
        <f>N1317+N1294</f>
        <v>757431934.62999988</v>
      </c>
    </row>
    <row r="1319" spans="1:14" s="20" customFormat="1" ht="21">
      <c r="A1319" s="252"/>
      <c r="B1319" s="443"/>
      <c r="C1319" s="228"/>
      <c r="D1319" s="229"/>
      <c r="E1319" s="230"/>
      <c r="F1319" s="215"/>
      <c r="G1319" s="296"/>
      <c r="H1319" s="296"/>
      <c r="I1319" s="296"/>
      <c r="J1319" s="28"/>
      <c r="K1319" s="488"/>
      <c r="L1319" s="468"/>
      <c r="M1319" s="296"/>
      <c r="N1319" s="296"/>
    </row>
    <row r="1320" spans="1:14" s="20" customFormat="1" ht="15.75" customHeight="1">
      <c r="A1320" s="238" t="s">
        <v>972</v>
      </c>
      <c r="B1320" s="231" t="s">
        <v>120</v>
      </c>
      <c r="C1320" s="32" t="s">
        <v>46</v>
      </c>
      <c r="D1320" s="77">
        <v>21010101</v>
      </c>
      <c r="E1320" s="135" t="s">
        <v>725</v>
      </c>
      <c r="F1320" s="138">
        <v>401195406.45999998</v>
      </c>
      <c r="G1320" s="297">
        <v>145245463.22400028</v>
      </c>
      <c r="H1320" s="297"/>
      <c r="I1320" s="297"/>
      <c r="J1320" s="28">
        <v>145245463.22400028</v>
      </c>
      <c r="K1320" s="488"/>
      <c r="L1320" s="467">
        <v>145245463.22400028</v>
      </c>
      <c r="M1320" s="297">
        <f>G1320*10%+G1320</f>
        <v>159770009.54640031</v>
      </c>
      <c r="N1320" s="297">
        <f>M1320*10%+M1320</f>
        <v>175747010.50104034</v>
      </c>
    </row>
    <row r="1321" spans="1:14" s="20" customFormat="1">
      <c r="A1321" s="238"/>
      <c r="B1321" s="231"/>
      <c r="C1321" s="30" t="s">
        <v>1836</v>
      </c>
      <c r="D1321" s="23"/>
      <c r="E1321" s="25"/>
      <c r="F1321" s="137">
        <f>SUM(F1320)</f>
        <v>401195406.45999998</v>
      </c>
      <c r="G1321" s="114">
        <f>SUM(G1320)</f>
        <v>145245463.22400028</v>
      </c>
      <c r="H1321" s="114">
        <f t="shared" ref="H1321:I1321" si="246">SUM(H1320)</f>
        <v>0</v>
      </c>
      <c r="I1321" s="114">
        <f t="shared" si="246"/>
        <v>0</v>
      </c>
      <c r="J1321" s="114">
        <f>SUM(J1320)</f>
        <v>145245463.22400028</v>
      </c>
      <c r="K1321" s="490"/>
      <c r="L1321" s="468">
        <f>SUM(L1320)</f>
        <v>145245463.22400028</v>
      </c>
      <c r="M1321" s="114">
        <f>SUM(M1320)</f>
        <v>159770009.54640031</v>
      </c>
      <c r="N1321" s="114">
        <f>SUM(N1320)</f>
        <v>175747010.50104034</v>
      </c>
    </row>
    <row r="1322" spans="1:14" s="20" customFormat="1">
      <c r="A1322" s="253"/>
      <c r="B1322" s="231"/>
      <c r="C1322" s="32" t="s">
        <v>47</v>
      </c>
      <c r="D1322" s="77">
        <v>22020101</v>
      </c>
      <c r="E1322" s="135" t="s">
        <v>841</v>
      </c>
      <c r="F1322" s="136">
        <v>368000</v>
      </c>
      <c r="G1322" s="28">
        <v>368000</v>
      </c>
      <c r="H1322" s="28"/>
      <c r="I1322" s="28"/>
      <c r="J1322" s="28">
        <v>368000</v>
      </c>
      <c r="K1322" s="488">
        <f>J1322*4.38%</f>
        <v>16118.4</v>
      </c>
      <c r="L1322" s="469">
        <v>351881.60000000003</v>
      </c>
      <c r="M1322" s="28">
        <v>368000</v>
      </c>
      <c r="N1322" s="28">
        <v>368000</v>
      </c>
    </row>
    <row r="1323" spans="1:14" s="20" customFormat="1">
      <c r="A1323" s="253"/>
      <c r="B1323" s="231"/>
      <c r="C1323" s="32" t="s">
        <v>47</v>
      </c>
      <c r="D1323" s="77">
        <v>22020105</v>
      </c>
      <c r="E1323" s="135" t="s">
        <v>1733</v>
      </c>
      <c r="F1323" s="136">
        <v>20000000</v>
      </c>
      <c r="G1323" s="28">
        <v>20000000</v>
      </c>
      <c r="H1323" s="28"/>
      <c r="I1323" s="28"/>
      <c r="J1323" s="28">
        <v>20000000</v>
      </c>
      <c r="K1323" s="488">
        <f t="shared" ref="K1323:K1334" si="247">J1323*4.38%</f>
        <v>876000</v>
      </c>
      <c r="L1323" s="469">
        <v>19124000</v>
      </c>
      <c r="M1323" s="28">
        <v>77861000</v>
      </c>
      <c r="N1323" s="28">
        <v>77861000</v>
      </c>
    </row>
    <row r="1324" spans="1:14" s="20" customFormat="1">
      <c r="A1324" s="253"/>
      <c r="B1324" s="231"/>
      <c r="C1324" s="32" t="s">
        <v>47</v>
      </c>
      <c r="D1324" s="77">
        <v>22020301</v>
      </c>
      <c r="E1324" s="135" t="s">
        <v>737</v>
      </c>
      <c r="F1324" s="136">
        <v>203600</v>
      </c>
      <c r="G1324" s="28">
        <v>203600</v>
      </c>
      <c r="H1324" s="28"/>
      <c r="I1324" s="28"/>
      <c r="J1324" s="28">
        <v>203600</v>
      </c>
      <c r="K1324" s="488">
        <f t="shared" si="247"/>
        <v>8917.68</v>
      </c>
      <c r="L1324" s="469">
        <v>194682.32</v>
      </c>
      <c r="M1324" s="28">
        <v>199700</v>
      </c>
      <c r="N1324" s="28">
        <v>203600</v>
      </c>
    </row>
    <row r="1325" spans="1:14" s="20" customFormat="1">
      <c r="A1325" s="253"/>
      <c r="B1325" s="231"/>
      <c r="C1325" s="32" t="s">
        <v>47</v>
      </c>
      <c r="D1325" s="77">
        <v>22020305</v>
      </c>
      <c r="E1325" s="135" t="s">
        <v>755</v>
      </c>
      <c r="F1325" s="136">
        <v>6226000</v>
      </c>
      <c r="G1325" s="28">
        <v>6226000</v>
      </c>
      <c r="H1325" s="28"/>
      <c r="I1325" s="28"/>
      <c r="J1325" s="28">
        <v>6226000</v>
      </c>
      <c r="K1325" s="488">
        <f t="shared" si="247"/>
        <v>272698.8</v>
      </c>
      <c r="L1325" s="469">
        <v>5953301.2000000002</v>
      </c>
      <c r="M1325" s="28">
        <v>6186000</v>
      </c>
      <c r="N1325" s="28">
        <v>6226000</v>
      </c>
    </row>
    <row r="1326" spans="1:14" s="20" customFormat="1">
      <c r="A1326" s="253"/>
      <c r="B1326" s="231"/>
      <c r="C1326" s="32" t="s">
        <v>47</v>
      </c>
      <c r="D1326" s="77">
        <v>22020307</v>
      </c>
      <c r="E1326" s="135" t="s">
        <v>822</v>
      </c>
      <c r="F1326" s="136">
        <v>1636000</v>
      </c>
      <c r="G1326" s="28">
        <v>1636000</v>
      </c>
      <c r="H1326" s="28"/>
      <c r="I1326" s="28"/>
      <c r="J1326" s="28">
        <v>1636000</v>
      </c>
      <c r="K1326" s="488">
        <f t="shared" si="247"/>
        <v>71656.800000000003</v>
      </c>
      <c r="L1326" s="469">
        <v>1564343.2000000002</v>
      </c>
      <c r="M1326" s="28">
        <v>1636000</v>
      </c>
      <c r="N1326" s="28">
        <v>1636000</v>
      </c>
    </row>
    <row r="1327" spans="1:14" s="20" customFormat="1">
      <c r="A1327" s="253"/>
      <c r="B1327" s="231"/>
      <c r="C1327" s="32" t="s">
        <v>47</v>
      </c>
      <c r="D1327" s="77">
        <v>22020308</v>
      </c>
      <c r="E1327" s="135" t="s">
        <v>756</v>
      </c>
      <c r="F1327" s="136">
        <v>14749000</v>
      </c>
      <c r="G1327" s="28">
        <v>14749000</v>
      </c>
      <c r="H1327" s="28"/>
      <c r="I1327" s="28"/>
      <c r="J1327" s="28">
        <v>14749000</v>
      </c>
      <c r="K1327" s="488">
        <f t="shared" si="247"/>
        <v>646006.19999999995</v>
      </c>
      <c r="L1327" s="469">
        <v>14102993.800000001</v>
      </c>
      <c r="M1327" s="28">
        <v>59672830</v>
      </c>
      <c r="N1327" s="28">
        <v>59817830</v>
      </c>
    </row>
    <row r="1328" spans="1:14" s="20" customFormat="1">
      <c r="A1328" s="253"/>
      <c r="B1328" s="231"/>
      <c r="C1328" s="32" t="s">
        <v>47</v>
      </c>
      <c r="D1328" s="77">
        <v>22020315</v>
      </c>
      <c r="E1328" s="135" t="s">
        <v>740</v>
      </c>
      <c r="F1328" s="136">
        <v>91300</v>
      </c>
      <c r="G1328" s="28">
        <v>91300</v>
      </c>
      <c r="H1328" s="28"/>
      <c r="I1328" s="28"/>
      <c r="J1328" s="28">
        <v>91300</v>
      </c>
      <c r="K1328" s="488">
        <f t="shared" si="247"/>
        <v>3998.94</v>
      </c>
      <c r="L1328" s="469">
        <v>87301.06</v>
      </c>
      <c r="M1328" s="28">
        <v>91300</v>
      </c>
      <c r="N1328" s="28">
        <v>91300</v>
      </c>
    </row>
    <row r="1329" spans="1:14" s="20" customFormat="1">
      <c r="A1329" s="253"/>
      <c r="B1329" s="231"/>
      <c r="C1329" s="32" t="s">
        <v>47</v>
      </c>
      <c r="D1329" s="77">
        <v>22020401</v>
      </c>
      <c r="E1329" s="135" t="s">
        <v>741</v>
      </c>
      <c r="F1329" s="136">
        <v>1750000</v>
      </c>
      <c r="G1329" s="28">
        <v>1750000</v>
      </c>
      <c r="H1329" s="28"/>
      <c r="I1329" s="28"/>
      <c r="J1329" s="28">
        <v>1750000</v>
      </c>
      <c r="K1329" s="488">
        <f t="shared" si="247"/>
        <v>76650</v>
      </c>
      <c r="L1329" s="469">
        <v>1673350</v>
      </c>
      <c r="M1329" s="28">
        <v>1750000</v>
      </c>
      <c r="N1329" s="28">
        <v>1750000</v>
      </c>
    </row>
    <row r="1330" spans="1:14" s="20" customFormat="1">
      <c r="A1330" s="253"/>
      <c r="B1330" s="231"/>
      <c r="C1330" s="32" t="s">
        <v>47</v>
      </c>
      <c r="D1330" s="77">
        <v>22020801</v>
      </c>
      <c r="E1330" s="135" t="s">
        <v>747</v>
      </c>
      <c r="F1330" s="136">
        <v>2311010</v>
      </c>
      <c r="G1330" s="28">
        <v>2311010</v>
      </c>
      <c r="H1330" s="28"/>
      <c r="I1330" s="28"/>
      <c r="J1330" s="28">
        <v>2311010</v>
      </c>
      <c r="K1330" s="488">
        <f t="shared" si="247"/>
        <v>101222.238</v>
      </c>
      <c r="L1330" s="469">
        <v>2209787.7620000001</v>
      </c>
      <c r="M1330" s="28">
        <v>2311010</v>
      </c>
      <c r="N1330" s="28">
        <v>2311010</v>
      </c>
    </row>
    <row r="1331" spans="1:14" s="20" customFormat="1">
      <c r="A1331" s="253"/>
      <c r="B1331" s="231"/>
      <c r="C1331" s="32" t="s">
        <v>47</v>
      </c>
      <c r="D1331" s="77">
        <v>22020802</v>
      </c>
      <c r="E1331" s="135" t="s">
        <v>973</v>
      </c>
      <c r="F1331" s="136">
        <v>3062000</v>
      </c>
      <c r="G1331" s="28">
        <v>3062000</v>
      </c>
      <c r="H1331" s="28"/>
      <c r="I1331" s="28"/>
      <c r="J1331" s="28">
        <v>3062000</v>
      </c>
      <c r="K1331" s="488">
        <f t="shared" si="247"/>
        <v>134115.6</v>
      </c>
      <c r="L1331" s="469">
        <v>2927884.4000000004</v>
      </c>
      <c r="M1331" s="28">
        <v>3062000</v>
      </c>
      <c r="N1331" s="28">
        <v>3062000</v>
      </c>
    </row>
    <row r="1332" spans="1:14" s="20" customFormat="1">
      <c r="A1332" s="253"/>
      <c r="B1332" s="231"/>
      <c r="C1332" s="32" t="s">
        <v>47</v>
      </c>
      <c r="D1332" s="77">
        <v>22021001</v>
      </c>
      <c r="E1332" s="135" t="s">
        <v>772</v>
      </c>
      <c r="F1332" s="136">
        <v>3172500</v>
      </c>
      <c r="G1332" s="28">
        <v>3172500</v>
      </c>
      <c r="H1332" s="28"/>
      <c r="I1332" s="28"/>
      <c r="J1332" s="28">
        <v>3172500</v>
      </c>
      <c r="K1332" s="488">
        <f t="shared" si="247"/>
        <v>138955.5</v>
      </c>
      <c r="L1332" s="469">
        <v>3033544.5</v>
      </c>
      <c r="M1332" s="28">
        <v>32707500</v>
      </c>
      <c r="N1332" s="28">
        <v>33172500</v>
      </c>
    </row>
    <row r="1333" spans="1:14" s="20" customFormat="1">
      <c r="A1333" s="253"/>
      <c r="B1333" s="231"/>
      <c r="C1333" s="32" t="s">
        <v>47</v>
      </c>
      <c r="D1333" s="77">
        <v>22021003</v>
      </c>
      <c r="E1333" s="135" t="s">
        <v>760</v>
      </c>
      <c r="F1333" s="136">
        <v>2770250</v>
      </c>
      <c r="G1333" s="28">
        <v>2770250</v>
      </c>
      <c r="H1333" s="28"/>
      <c r="I1333" s="28"/>
      <c r="J1333" s="28">
        <v>2770250</v>
      </c>
      <c r="K1333" s="488">
        <f t="shared" si="247"/>
        <v>121336.95</v>
      </c>
      <c r="L1333" s="469">
        <v>2648913.0500000003</v>
      </c>
      <c r="M1333" s="28">
        <v>2770250</v>
      </c>
      <c r="N1333" s="28">
        <v>2770250</v>
      </c>
    </row>
    <row r="1334" spans="1:14" s="20" customFormat="1">
      <c r="A1334" s="253"/>
      <c r="B1334" s="231"/>
      <c r="C1334" s="32" t="s">
        <v>47</v>
      </c>
      <c r="D1334" s="77">
        <v>22021009</v>
      </c>
      <c r="E1334" s="135" t="s">
        <v>873</v>
      </c>
      <c r="F1334" s="136">
        <f>57126000+43000000+30000000</f>
        <v>130126000</v>
      </c>
      <c r="G1334" s="28">
        <f>57126000+43000000+30000000</f>
        <v>130126000</v>
      </c>
      <c r="H1334" s="28"/>
      <c r="I1334" s="28"/>
      <c r="J1334" s="28">
        <v>130126000</v>
      </c>
      <c r="K1334" s="488">
        <f t="shared" si="247"/>
        <v>5699518.7999999998</v>
      </c>
      <c r="L1334" s="469">
        <v>124426481.2</v>
      </c>
      <c r="M1334" s="28">
        <v>57126000</v>
      </c>
      <c r="N1334" s="28">
        <v>57126000</v>
      </c>
    </row>
    <row r="1335" spans="1:14" s="20" customFormat="1">
      <c r="A1335" s="238"/>
      <c r="B1335" s="231"/>
      <c r="C1335" s="30" t="s">
        <v>1837</v>
      </c>
      <c r="D1335" s="23"/>
      <c r="E1335" s="25"/>
      <c r="F1335" s="137">
        <f>SUM(F1322:F1334)</f>
        <v>186465660</v>
      </c>
      <c r="G1335" s="114">
        <f>SUM(G1322:G1334)</f>
        <v>186465660</v>
      </c>
      <c r="H1335" s="114">
        <f t="shared" ref="H1335:I1335" si="248">SUM(H1322:H1334)</f>
        <v>0</v>
      </c>
      <c r="I1335" s="114">
        <f t="shared" si="248"/>
        <v>0</v>
      </c>
      <c r="J1335" s="114">
        <f>SUM(J1322:J1334)</f>
        <v>186465660</v>
      </c>
      <c r="K1335" s="490">
        <f>SUM(K1322:K1334)</f>
        <v>8167195.9079999998</v>
      </c>
      <c r="L1335" s="468">
        <f>SUM(L1322:L1334)</f>
        <v>178298464.09200001</v>
      </c>
      <c r="M1335" s="114">
        <f>SUM(M1322:M1334)</f>
        <v>245741590</v>
      </c>
      <c r="N1335" s="114">
        <f>SUM(N1322:N1334)</f>
        <v>246395490</v>
      </c>
    </row>
    <row r="1336" spans="1:14" s="66" customFormat="1" ht="30">
      <c r="A1336" s="238" t="s">
        <v>972</v>
      </c>
      <c r="B1336" s="231" t="s">
        <v>1797</v>
      </c>
      <c r="C1336" s="30"/>
      <c r="D1336" s="23"/>
      <c r="E1336" s="25"/>
      <c r="F1336" s="137">
        <f>F1335+F1321</f>
        <v>587661066.46000004</v>
      </c>
      <c r="G1336" s="114">
        <f>G1335+G1321</f>
        <v>331711123.22400028</v>
      </c>
      <c r="H1336" s="114">
        <f t="shared" ref="H1336:I1336" si="249">H1335+H1321</f>
        <v>0</v>
      </c>
      <c r="I1336" s="114">
        <f t="shared" si="249"/>
        <v>0</v>
      </c>
      <c r="J1336" s="114">
        <f>J1335+J1321</f>
        <v>331711123.22400028</v>
      </c>
      <c r="K1336" s="490"/>
      <c r="L1336" s="468">
        <f>L1335+L1321</f>
        <v>323543927.31600028</v>
      </c>
      <c r="M1336" s="114">
        <f>M1335+M1321</f>
        <v>405511599.54640031</v>
      </c>
      <c r="N1336" s="114">
        <f>N1335+N1321</f>
        <v>422142500.50104034</v>
      </c>
    </row>
    <row r="1337" spans="1:14" s="20" customFormat="1" ht="21">
      <c r="A1337" s="252"/>
      <c r="B1337" s="443"/>
      <c r="C1337" s="228"/>
      <c r="D1337" s="229"/>
      <c r="E1337" s="230"/>
      <c r="F1337" s="215"/>
      <c r="G1337" s="296"/>
      <c r="H1337" s="296"/>
      <c r="I1337" s="296"/>
      <c r="J1337" s="28"/>
      <c r="K1337" s="488"/>
      <c r="L1337" s="468"/>
      <c r="M1337" s="296"/>
      <c r="N1337" s="296"/>
    </row>
    <row r="1338" spans="1:14" s="20" customFormat="1" ht="30">
      <c r="A1338" s="238" t="s">
        <v>974</v>
      </c>
      <c r="B1338" s="231" t="s">
        <v>975</v>
      </c>
      <c r="C1338" s="32" t="s">
        <v>46</v>
      </c>
      <c r="D1338" s="77">
        <v>21010101</v>
      </c>
      <c r="E1338" s="135" t="s">
        <v>725</v>
      </c>
      <c r="F1338" s="138">
        <v>74926585.129999995</v>
      </c>
      <c r="G1338" s="297">
        <v>74926585.129999995</v>
      </c>
      <c r="H1338" s="297"/>
      <c r="I1338" s="297"/>
      <c r="J1338" s="28">
        <v>74926585.129999995</v>
      </c>
      <c r="K1338" s="488"/>
      <c r="L1338" s="467">
        <v>74926585.129999995</v>
      </c>
      <c r="M1338" s="297">
        <f>G1338*10%+G1338</f>
        <v>82419243.642999992</v>
      </c>
      <c r="N1338" s="297">
        <f>M1338*10%+M1338</f>
        <v>90661168.007299989</v>
      </c>
    </row>
    <row r="1339" spans="1:14" s="20" customFormat="1">
      <c r="A1339" s="238"/>
      <c r="B1339" s="231"/>
      <c r="C1339" s="30" t="s">
        <v>1836</v>
      </c>
      <c r="D1339" s="23"/>
      <c r="E1339" s="25"/>
      <c r="F1339" s="137">
        <f>SUM(F1338)</f>
        <v>74926585.129999995</v>
      </c>
      <c r="G1339" s="114">
        <f>SUM(G1338)</f>
        <v>74926585.129999995</v>
      </c>
      <c r="H1339" s="114">
        <f t="shared" ref="H1339:I1339" si="250">SUM(H1338)</f>
        <v>0</v>
      </c>
      <c r="I1339" s="114">
        <f t="shared" si="250"/>
        <v>0</v>
      </c>
      <c r="J1339" s="114">
        <f>SUM(J1338)</f>
        <v>74926585.129999995</v>
      </c>
      <c r="K1339" s="490"/>
      <c r="L1339" s="468">
        <f>SUM(L1338)</f>
        <v>74926585.129999995</v>
      </c>
      <c r="M1339" s="114">
        <f>SUM(M1338)</f>
        <v>82419243.642999992</v>
      </c>
      <c r="N1339" s="114">
        <f>SUM(N1338)</f>
        <v>90661168.007299989</v>
      </c>
    </row>
    <row r="1340" spans="1:14" s="20" customFormat="1">
      <c r="A1340" s="253"/>
      <c r="B1340" s="231"/>
      <c r="C1340" s="32" t="s">
        <v>47</v>
      </c>
      <c r="D1340" s="77">
        <v>22020105</v>
      </c>
      <c r="E1340" s="135" t="s">
        <v>1733</v>
      </c>
      <c r="F1340" s="136">
        <f>2100000+4000000</f>
        <v>6100000</v>
      </c>
      <c r="G1340" s="28">
        <f>2100000+4000000</f>
        <v>6100000</v>
      </c>
      <c r="H1340" s="28"/>
      <c r="I1340" s="28"/>
      <c r="J1340" s="28">
        <v>6100000</v>
      </c>
      <c r="K1340" s="488">
        <f>J1340*4.38%</f>
        <v>267180</v>
      </c>
      <c r="L1340" s="469">
        <v>5832820</v>
      </c>
      <c r="M1340" s="28">
        <f t="shared" ref="M1340:M1348" si="251">G1340*10%+G1340</f>
        <v>6710000</v>
      </c>
      <c r="N1340" s="28">
        <f>M1340*10%+M1340</f>
        <v>7381000</v>
      </c>
    </row>
    <row r="1341" spans="1:14" s="20" customFormat="1">
      <c r="A1341" s="253"/>
      <c r="B1341" s="231"/>
      <c r="C1341" s="32" t="s">
        <v>47</v>
      </c>
      <c r="D1341" s="77">
        <v>22020301</v>
      </c>
      <c r="E1341" s="135" t="s">
        <v>737</v>
      </c>
      <c r="F1341" s="136">
        <v>2562000</v>
      </c>
      <c r="G1341" s="28">
        <v>2562000</v>
      </c>
      <c r="H1341" s="28"/>
      <c r="I1341" s="28"/>
      <c r="J1341" s="28">
        <v>2562000</v>
      </c>
      <c r="K1341" s="488">
        <f t="shared" ref="K1341:K1348" si="252">J1341*4.38%</f>
        <v>112215.59999999999</v>
      </c>
      <c r="L1341" s="469">
        <v>2449784.4</v>
      </c>
      <c r="M1341" s="28">
        <f t="shared" si="251"/>
        <v>2818200</v>
      </c>
      <c r="N1341" s="28">
        <f t="shared" ref="N1341:N1348" si="253">M1341*10%+M1341</f>
        <v>3100020</v>
      </c>
    </row>
    <row r="1342" spans="1:14" s="20" customFormat="1">
      <c r="A1342" s="253"/>
      <c r="B1342" s="231"/>
      <c r="C1342" s="32" t="s">
        <v>47</v>
      </c>
      <c r="D1342" s="77">
        <v>22020801</v>
      </c>
      <c r="E1342" s="135" t="s">
        <v>747</v>
      </c>
      <c r="F1342" s="136">
        <v>1500000</v>
      </c>
      <c r="G1342" s="28">
        <v>1500000</v>
      </c>
      <c r="H1342" s="28"/>
      <c r="I1342" s="28"/>
      <c r="J1342" s="28">
        <v>1500000</v>
      </c>
      <c r="K1342" s="488">
        <f t="shared" si="252"/>
        <v>65700</v>
      </c>
      <c r="L1342" s="469">
        <v>1434300</v>
      </c>
      <c r="M1342" s="28">
        <f t="shared" si="251"/>
        <v>1650000</v>
      </c>
      <c r="N1342" s="28">
        <f t="shared" si="253"/>
        <v>1815000</v>
      </c>
    </row>
    <row r="1343" spans="1:14" s="20" customFormat="1">
      <c r="A1343" s="253"/>
      <c r="B1343" s="231"/>
      <c r="C1343" s="32" t="s">
        <v>47</v>
      </c>
      <c r="D1343" s="77">
        <v>22020803</v>
      </c>
      <c r="E1343" s="135" t="s">
        <v>748</v>
      </c>
      <c r="F1343" s="136">
        <v>2000000</v>
      </c>
      <c r="G1343" s="28">
        <v>2000000</v>
      </c>
      <c r="H1343" s="28"/>
      <c r="I1343" s="28"/>
      <c r="J1343" s="28">
        <v>2000000</v>
      </c>
      <c r="K1343" s="488">
        <f t="shared" si="252"/>
        <v>87600</v>
      </c>
      <c r="L1343" s="469">
        <v>1912400</v>
      </c>
      <c r="M1343" s="28">
        <f t="shared" si="251"/>
        <v>2200000</v>
      </c>
      <c r="N1343" s="28">
        <f t="shared" si="253"/>
        <v>2420000</v>
      </c>
    </row>
    <row r="1344" spans="1:14" s="20" customFormat="1">
      <c r="A1344" s="253"/>
      <c r="B1344" s="231"/>
      <c r="C1344" s="32" t="s">
        <v>47</v>
      </c>
      <c r="D1344" s="77">
        <v>22020803</v>
      </c>
      <c r="E1344" s="135" t="s">
        <v>748</v>
      </c>
      <c r="F1344" s="136">
        <v>1112000</v>
      </c>
      <c r="G1344" s="28">
        <v>1112000</v>
      </c>
      <c r="H1344" s="28"/>
      <c r="I1344" s="28"/>
      <c r="J1344" s="28">
        <v>1112000</v>
      </c>
      <c r="K1344" s="488">
        <f t="shared" si="252"/>
        <v>48705.599999999999</v>
      </c>
      <c r="L1344" s="469">
        <v>1063294.4000000001</v>
      </c>
      <c r="M1344" s="28">
        <f t="shared" si="251"/>
        <v>1223200</v>
      </c>
      <c r="N1344" s="28">
        <f t="shared" si="253"/>
        <v>1345520</v>
      </c>
    </row>
    <row r="1345" spans="1:14" s="20" customFormat="1">
      <c r="A1345" s="253"/>
      <c r="B1345" s="231"/>
      <c r="C1345" s="32" t="s">
        <v>47</v>
      </c>
      <c r="D1345" s="77">
        <v>22020401</v>
      </c>
      <c r="E1345" s="135" t="s">
        <v>741</v>
      </c>
      <c r="F1345" s="136">
        <v>4800000</v>
      </c>
      <c r="G1345" s="28">
        <v>4800000</v>
      </c>
      <c r="H1345" s="28"/>
      <c r="I1345" s="28"/>
      <c r="J1345" s="28">
        <v>4800000</v>
      </c>
      <c r="K1345" s="488">
        <f t="shared" si="252"/>
        <v>210240</v>
      </c>
      <c r="L1345" s="469">
        <v>4589760</v>
      </c>
      <c r="M1345" s="28">
        <f t="shared" si="251"/>
        <v>5280000</v>
      </c>
      <c r="N1345" s="28">
        <f t="shared" si="253"/>
        <v>5808000</v>
      </c>
    </row>
    <row r="1346" spans="1:14" s="20" customFormat="1">
      <c r="A1346" s="253"/>
      <c r="B1346" s="231"/>
      <c r="C1346" s="32" t="s">
        <v>47</v>
      </c>
      <c r="D1346" s="77">
        <v>22021001</v>
      </c>
      <c r="E1346" s="135" t="s">
        <v>772</v>
      </c>
      <c r="F1346" s="136">
        <v>2264000</v>
      </c>
      <c r="G1346" s="28">
        <v>2264000</v>
      </c>
      <c r="H1346" s="28"/>
      <c r="I1346" s="28"/>
      <c r="J1346" s="28">
        <v>2264000</v>
      </c>
      <c r="K1346" s="488">
        <f t="shared" si="252"/>
        <v>99163.199999999997</v>
      </c>
      <c r="L1346" s="469">
        <v>2164836.8000000003</v>
      </c>
      <c r="M1346" s="28">
        <f t="shared" si="251"/>
        <v>2490400</v>
      </c>
      <c r="N1346" s="28">
        <f t="shared" si="253"/>
        <v>2739440</v>
      </c>
    </row>
    <row r="1347" spans="1:14" s="20" customFormat="1">
      <c r="A1347" s="253"/>
      <c r="B1347" s="231"/>
      <c r="C1347" s="32" t="s">
        <v>47</v>
      </c>
      <c r="D1347" s="77">
        <v>22021003</v>
      </c>
      <c r="E1347" s="135" t="s">
        <v>760</v>
      </c>
      <c r="F1347" s="136">
        <v>1000000</v>
      </c>
      <c r="G1347" s="28">
        <v>1000000</v>
      </c>
      <c r="H1347" s="28"/>
      <c r="I1347" s="28"/>
      <c r="J1347" s="28">
        <v>1000000</v>
      </c>
      <c r="K1347" s="488">
        <f t="shared" si="252"/>
        <v>43800</v>
      </c>
      <c r="L1347" s="469">
        <v>956200</v>
      </c>
      <c r="M1347" s="28">
        <f t="shared" si="251"/>
        <v>1100000</v>
      </c>
      <c r="N1347" s="28">
        <f t="shared" si="253"/>
        <v>1210000</v>
      </c>
    </row>
    <row r="1348" spans="1:14" s="20" customFormat="1">
      <c r="A1348" s="253"/>
      <c r="B1348" s="231"/>
      <c r="C1348" s="32" t="s">
        <v>47</v>
      </c>
      <c r="D1348" s="77">
        <v>22021026</v>
      </c>
      <c r="E1348" s="135" t="s">
        <v>751</v>
      </c>
      <c r="F1348" s="136">
        <v>1572000</v>
      </c>
      <c r="G1348" s="28">
        <v>1572000</v>
      </c>
      <c r="H1348" s="28"/>
      <c r="I1348" s="28"/>
      <c r="J1348" s="28">
        <v>1572000</v>
      </c>
      <c r="K1348" s="488">
        <f t="shared" si="252"/>
        <v>68853.599999999991</v>
      </c>
      <c r="L1348" s="469">
        <v>1503146.4000000001</v>
      </c>
      <c r="M1348" s="28">
        <f t="shared" si="251"/>
        <v>1729200</v>
      </c>
      <c r="N1348" s="28">
        <f t="shared" si="253"/>
        <v>1902120</v>
      </c>
    </row>
    <row r="1349" spans="1:14" s="20" customFormat="1">
      <c r="A1349" s="238"/>
      <c r="B1349" s="231"/>
      <c r="C1349" s="30" t="s">
        <v>1837</v>
      </c>
      <c r="D1349" s="23"/>
      <c r="E1349" s="25"/>
      <c r="F1349" s="137">
        <f>SUM(F1340:F1348)</f>
        <v>22910000</v>
      </c>
      <c r="G1349" s="114">
        <f>SUM(G1340:G1348)</f>
        <v>22910000</v>
      </c>
      <c r="H1349" s="114">
        <f t="shared" ref="H1349:I1349" si="254">SUM(H1340:H1348)</f>
        <v>0</v>
      </c>
      <c r="I1349" s="114">
        <f t="shared" si="254"/>
        <v>0</v>
      </c>
      <c r="J1349" s="114">
        <f>SUM(J1340:J1348)</f>
        <v>22910000</v>
      </c>
      <c r="K1349" s="490">
        <f>SUM(K1340:K1348)</f>
        <v>1003457.9999999999</v>
      </c>
      <c r="L1349" s="468">
        <f>SUM(L1340:L1348)</f>
        <v>21906542</v>
      </c>
      <c r="M1349" s="114">
        <f>SUM(M1340:M1348)</f>
        <v>25201000</v>
      </c>
      <c r="N1349" s="114">
        <f>SUM(N1340:N1348)</f>
        <v>27721100</v>
      </c>
    </row>
    <row r="1350" spans="1:14" s="66" customFormat="1" ht="30">
      <c r="A1350" s="238" t="s">
        <v>974</v>
      </c>
      <c r="B1350" s="231" t="s">
        <v>1798</v>
      </c>
      <c r="C1350" s="30"/>
      <c r="D1350" s="23"/>
      <c r="E1350" s="25"/>
      <c r="F1350" s="137">
        <f>F1349+F1339</f>
        <v>97836585.129999995</v>
      </c>
      <c r="G1350" s="114">
        <f>G1349+G1339</f>
        <v>97836585.129999995</v>
      </c>
      <c r="H1350" s="114">
        <f t="shared" ref="H1350:I1350" si="255">H1349+H1339</f>
        <v>0</v>
      </c>
      <c r="I1350" s="114">
        <f t="shared" si="255"/>
        <v>0</v>
      </c>
      <c r="J1350" s="114">
        <f>J1349+J1339</f>
        <v>97836585.129999995</v>
      </c>
      <c r="K1350" s="490"/>
      <c r="L1350" s="468">
        <f>L1349+L1339</f>
        <v>96833127.129999995</v>
      </c>
      <c r="M1350" s="114">
        <f>M1349+M1339</f>
        <v>107620243.64299999</v>
      </c>
      <c r="N1350" s="114">
        <f>N1349+N1339</f>
        <v>118382268.00729999</v>
      </c>
    </row>
    <row r="1351" spans="1:14" s="20" customFormat="1" ht="21">
      <c r="A1351" s="252"/>
      <c r="B1351" s="443"/>
      <c r="C1351" s="228"/>
      <c r="D1351" s="229"/>
      <c r="E1351" s="230"/>
      <c r="F1351" s="215"/>
      <c r="G1351" s="296"/>
      <c r="H1351" s="296"/>
      <c r="I1351" s="296"/>
      <c r="J1351" s="28"/>
      <c r="K1351" s="488"/>
      <c r="L1351" s="468"/>
      <c r="M1351" s="296"/>
      <c r="N1351" s="296"/>
    </row>
    <row r="1352" spans="1:14" s="20" customFormat="1">
      <c r="A1352" s="238" t="s">
        <v>976</v>
      </c>
      <c r="B1352" s="231" t="s">
        <v>118</v>
      </c>
      <c r="C1352" s="32" t="s">
        <v>46</v>
      </c>
      <c r="D1352" s="77">
        <v>21010101</v>
      </c>
      <c r="E1352" s="135" t="s">
        <v>725</v>
      </c>
      <c r="F1352" s="136">
        <v>25841830.44000002</v>
      </c>
      <c r="G1352" s="28">
        <v>25841830.44000002</v>
      </c>
      <c r="H1352" s="28"/>
      <c r="I1352" s="28"/>
      <c r="J1352" s="28">
        <v>25841830.44000002</v>
      </c>
      <c r="K1352" s="488"/>
      <c r="L1352" s="467">
        <v>25841830.44000002</v>
      </c>
      <c r="M1352" s="28">
        <v>28426013.484000023</v>
      </c>
      <c r="N1352" s="28">
        <v>31268614.832400028</v>
      </c>
    </row>
    <row r="1353" spans="1:14" s="20" customFormat="1">
      <c r="A1353" s="253"/>
      <c r="B1353" s="231"/>
      <c r="C1353" s="32" t="s">
        <v>46</v>
      </c>
      <c r="D1353" s="77">
        <v>21020101</v>
      </c>
      <c r="E1353" s="135" t="s">
        <v>726</v>
      </c>
      <c r="F1353" s="136">
        <v>5885290.200000003</v>
      </c>
      <c r="G1353" s="28">
        <v>5885290.200000003</v>
      </c>
      <c r="H1353" s="28"/>
      <c r="I1353" s="28"/>
      <c r="J1353" s="28">
        <v>5885290.200000003</v>
      </c>
      <c r="K1353" s="488"/>
      <c r="L1353" s="467">
        <v>5885290.200000003</v>
      </c>
      <c r="M1353" s="28">
        <v>6473819.2200000035</v>
      </c>
      <c r="N1353" s="28">
        <v>7121201.1420000046</v>
      </c>
    </row>
    <row r="1354" spans="1:14" s="20" customFormat="1">
      <c r="A1354" s="253"/>
      <c r="B1354" s="231"/>
      <c r="C1354" s="32" t="s">
        <v>46</v>
      </c>
      <c r="D1354" s="77">
        <v>21020102</v>
      </c>
      <c r="E1354" s="135" t="s">
        <v>727</v>
      </c>
      <c r="F1354" s="136">
        <v>2331051.7200000002</v>
      </c>
      <c r="G1354" s="28">
        <v>2331051.7200000002</v>
      </c>
      <c r="H1354" s="28"/>
      <c r="I1354" s="28"/>
      <c r="J1354" s="28">
        <v>2331051.7200000002</v>
      </c>
      <c r="K1354" s="488"/>
      <c r="L1354" s="467">
        <v>2331051.7200000002</v>
      </c>
      <c r="M1354" s="28">
        <v>2564156.8920000005</v>
      </c>
      <c r="N1354" s="28">
        <v>2820572.5812000008</v>
      </c>
    </row>
    <row r="1355" spans="1:14" s="20" customFormat="1">
      <c r="A1355" s="253"/>
      <c r="B1355" s="231"/>
      <c r="C1355" s="32" t="s">
        <v>46</v>
      </c>
      <c r="D1355" s="77">
        <v>21020103</v>
      </c>
      <c r="E1355" s="135" t="s">
        <v>728</v>
      </c>
      <c r="F1355" s="136">
        <v>1321338.5999999996</v>
      </c>
      <c r="G1355" s="28">
        <v>1321338.5999999996</v>
      </c>
      <c r="H1355" s="28"/>
      <c r="I1355" s="28"/>
      <c r="J1355" s="28">
        <v>1321338.5999999996</v>
      </c>
      <c r="K1355" s="488"/>
      <c r="L1355" s="467">
        <v>1321338.5999999996</v>
      </c>
      <c r="M1355" s="28">
        <v>1453472.4599999997</v>
      </c>
      <c r="N1355" s="28">
        <v>1598819.7059999998</v>
      </c>
    </row>
    <row r="1356" spans="1:14" s="20" customFormat="1">
      <c r="A1356" s="253"/>
      <c r="B1356" s="231"/>
      <c r="C1356" s="32" t="s">
        <v>46</v>
      </c>
      <c r="D1356" s="77">
        <v>21020104</v>
      </c>
      <c r="E1356" s="135" t="s">
        <v>729</v>
      </c>
      <c r="F1356" s="136">
        <v>1203726.3599999996</v>
      </c>
      <c r="G1356" s="28">
        <v>1203726.3599999996</v>
      </c>
      <c r="H1356" s="28"/>
      <c r="I1356" s="28"/>
      <c r="J1356" s="28">
        <v>1203726.3599999996</v>
      </c>
      <c r="K1356" s="488"/>
      <c r="L1356" s="467">
        <v>1203726.3599999996</v>
      </c>
      <c r="M1356" s="28">
        <v>1324098.9959999998</v>
      </c>
      <c r="N1356" s="28">
        <v>1456508.8955999999</v>
      </c>
    </row>
    <row r="1357" spans="1:14" s="20" customFormat="1">
      <c r="A1357" s="253"/>
      <c r="B1357" s="231"/>
      <c r="C1357" s="32" t="s">
        <v>46</v>
      </c>
      <c r="D1357" s="77">
        <v>21020105</v>
      </c>
      <c r="E1357" s="135" t="s">
        <v>730</v>
      </c>
      <c r="F1357" s="136">
        <v>103752.36000000002</v>
      </c>
      <c r="G1357" s="28">
        <v>103752.36000000002</v>
      </c>
      <c r="H1357" s="28"/>
      <c r="I1357" s="28"/>
      <c r="J1357" s="28">
        <v>103752.36000000002</v>
      </c>
      <c r="K1357" s="488"/>
      <c r="L1357" s="467">
        <v>103752.36000000002</v>
      </c>
      <c r="M1357" s="28">
        <v>114127.59600000002</v>
      </c>
      <c r="N1357" s="28">
        <v>125540.35560000002</v>
      </c>
    </row>
    <row r="1358" spans="1:14" s="20" customFormat="1">
      <c r="A1358" s="253"/>
      <c r="B1358" s="231"/>
      <c r="C1358" s="32" t="s">
        <v>46</v>
      </c>
      <c r="D1358" s="77">
        <v>21020106</v>
      </c>
      <c r="E1358" s="135" t="s">
        <v>731</v>
      </c>
      <c r="F1358" s="136">
        <v>2317770.1199999996</v>
      </c>
      <c r="G1358" s="28">
        <v>2317770.1199999996</v>
      </c>
      <c r="H1358" s="28"/>
      <c r="I1358" s="28"/>
      <c r="J1358" s="28">
        <v>2317770.1199999996</v>
      </c>
      <c r="K1358" s="488"/>
      <c r="L1358" s="467">
        <v>2317770.1199999996</v>
      </c>
      <c r="M1358" s="28">
        <v>2549547.1319999998</v>
      </c>
      <c r="N1358" s="28">
        <v>2804501.8451999999</v>
      </c>
    </row>
    <row r="1359" spans="1:14" s="20" customFormat="1">
      <c r="A1359" s="253"/>
      <c r="B1359" s="231"/>
      <c r="C1359" s="32" t="s">
        <v>46</v>
      </c>
      <c r="D1359" s="77">
        <v>21020107</v>
      </c>
      <c r="E1359" s="135" t="s">
        <v>732</v>
      </c>
      <c r="F1359" s="136">
        <v>1080000</v>
      </c>
      <c r="G1359" s="28">
        <v>1080000</v>
      </c>
      <c r="H1359" s="28"/>
      <c r="I1359" s="28"/>
      <c r="J1359" s="28">
        <v>1080000</v>
      </c>
      <c r="K1359" s="488"/>
      <c r="L1359" s="467">
        <v>1080000</v>
      </c>
      <c r="M1359" s="28">
        <v>1188000</v>
      </c>
      <c r="N1359" s="28">
        <v>1306800</v>
      </c>
    </row>
    <row r="1360" spans="1:14" s="20" customFormat="1">
      <c r="A1360" s="253"/>
      <c r="B1360" s="231"/>
      <c r="C1360" s="32" t="s">
        <v>46</v>
      </c>
      <c r="D1360" s="77">
        <v>21020110</v>
      </c>
      <c r="E1360" s="135" t="s">
        <v>733</v>
      </c>
      <c r="F1360" s="136">
        <v>206337.59999999998</v>
      </c>
      <c r="G1360" s="28">
        <v>206337.59999999998</v>
      </c>
      <c r="H1360" s="28"/>
      <c r="I1360" s="28"/>
      <c r="J1360" s="28">
        <v>206337.59999999998</v>
      </c>
      <c r="K1360" s="488"/>
      <c r="L1360" s="467">
        <v>206337.59999999998</v>
      </c>
      <c r="M1360" s="28">
        <v>226971.36</v>
      </c>
      <c r="N1360" s="28">
        <v>249668.49600000001</v>
      </c>
    </row>
    <row r="1361" spans="1:14" s="20" customFormat="1">
      <c r="A1361" s="253"/>
      <c r="B1361" s="231"/>
      <c r="C1361" s="32" t="s">
        <v>46</v>
      </c>
      <c r="D1361" s="77">
        <v>21020124</v>
      </c>
      <c r="E1361" s="135" t="s">
        <v>734</v>
      </c>
      <c r="F1361" s="136">
        <v>84000</v>
      </c>
      <c r="G1361" s="28">
        <v>84000</v>
      </c>
      <c r="H1361" s="28"/>
      <c r="I1361" s="28"/>
      <c r="J1361" s="28">
        <v>84000</v>
      </c>
      <c r="K1361" s="488"/>
      <c r="L1361" s="467">
        <v>84000</v>
      </c>
      <c r="M1361" s="28">
        <v>92400.000000000015</v>
      </c>
      <c r="N1361" s="28">
        <v>101640.00000000003</v>
      </c>
    </row>
    <row r="1362" spans="1:14" s="20" customFormat="1">
      <c r="A1362" s="238"/>
      <c r="B1362" s="231"/>
      <c r="C1362" s="30" t="s">
        <v>1836</v>
      </c>
      <c r="D1362" s="23"/>
      <c r="E1362" s="25"/>
      <c r="F1362" s="137">
        <f>SUM(F1352:F1361)</f>
        <v>40375097.400000021</v>
      </c>
      <c r="G1362" s="114">
        <f>SUM(G1352:G1361)</f>
        <v>40375097.400000021</v>
      </c>
      <c r="H1362" s="114">
        <f t="shared" ref="H1362:I1362" si="256">SUM(H1352:H1361)</f>
        <v>0</v>
      </c>
      <c r="I1362" s="114">
        <f t="shared" si="256"/>
        <v>0</v>
      </c>
      <c r="J1362" s="114">
        <f>SUM(J1352:J1361)</f>
        <v>40375097.400000021</v>
      </c>
      <c r="K1362" s="490"/>
      <c r="L1362" s="468">
        <f>SUM(L1352:L1361)</f>
        <v>40375097.400000021</v>
      </c>
      <c r="M1362" s="114">
        <f>SUM(M1352:M1361)</f>
        <v>44412607.140000023</v>
      </c>
      <c r="N1362" s="114">
        <f>SUM(N1352:N1361)</f>
        <v>48853867.854000032</v>
      </c>
    </row>
    <row r="1363" spans="1:14" s="20" customFormat="1">
      <c r="A1363" s="253"/>
      <c r="B1363" s="231"/>
      <c r="C1363" s="32" t="s">
        <v>47</v>
      </c>
      <c r="D1363" s="77">
        <v>22020105</v>
      </c>
      <c r="E1363" s="135" t="s">
        <v>1733</v>
      </c>
      <c r="F1363" s="136">
        <v>712000</v>
      </c>
      <c r="G1363" s="28">
        <v>712000</v>
      </c>
      <c r="H1363" s="28"/>
      <c r="I1363" s="28"/>
      <c r="J1363" s="28">
        <v>712000</v>
      </c>
      <c r="K1363" s="488">
        <f>J1363*4.38%</f>
        <v>31185.599999999999</v>
      </c>
      <c r="L1363" s="469">
        <v>680814.4</v>
      </c>
      <c r="M1363" s="28">
        <v>712000</v>
      </c>
      <c r="N1363" s="28">
        <v>712000</v>
      </c>
    </row>
    <row r="1364" spans="1:14" s="20" customFormat="1">
      <c r="A1364" s="253"/>
      <c r="B1364" s="231"/>
      <c r="C1364" s="32" t="s">
        <v>47</v>
      </c>
      <c r="D1364" s="77">
        <v>22020301</v>
      </c>
      <c r="E1364" s="135" t="s">
        <v>737</v>
      </c>
      <c r="F1364" s="136">
        <v>1050000</v>
      </c>
      <c r="G1364" s="28">
        <v>1050000</v>
      </c>
      <c r="H1364" s="28"/>
      <c r="I1364" s="28"/>
      <c r="J1364" s="28">
        <v>1050000</v>
      </c>
      <c r="K1364" s="488">
        <f t="shared" ref="K1364:K1381" si="257">J1364*4.38%</f>
        <v>45990</v>
      </c>
      <c r="L1364" s="469">
        <v>1004010</v>
      </c>
      <c r="M1364" s="28">
        <v>1050000</v>
      </c>
      <c r="N1364" s="28">
        <v>1050000</v>
      </c>
    </row>
    <row r="1365" spans="1:14" s="20" customFormat="1">
      <c r="A1365" s="253"/>
      <c r="B1365" s="231"/>
      <c r="C1365" s="32" t="s">
        <v>47</v>
      </c>
      <c r="D1365" s="77">
        <v>22020305</v>
      </c>
      <c r="E1365" s="135" t="s">
        <v>755</v>
      </c>
      <c r="F1365" s="136">
        <v>80000</v>
      </c>
      <c r="G1365" s="28">
        <v>80000</v>
      </c>
      <c r="H1365" s="28"/>
      <c r="I1365" s="28"/>
      <c r="J1365" s="28">
        <v>80000</v>
      </c>
      <c r="K1365" s="488">
        <f t="shared" si="257"/>
        <v>3504</v>
      </c>
      <c r="L1365" s="469">
        <v>76496</v>
      </c>
      <c r="M1365" s="28">
        <v>80000</v>
      </c>
      <c r="N1365" s="28">
        <v>80000</v>
      </c>
    </row>
    <row r="1366" spans="1:14" s="20" customFormat="1">
      <c r="A1366" s="253"/>
      <c r="B1366" s="231"/>
      <c r="C1366" s="32" t="s">
        <v>47</v>
      </c>
      <c r="D1366" s="77">
        <v>22020307</v>
      </c>
      <c r="E1366" s="135" t="s">
        <v>822</v>
      </c>
      <c r="F1366" s="136">
        <v>1429950</v>
      </c>
      <c r="G1366" s="28">
        <v>1429950</v>
      </c>
      <c r="H1366" s="28"/>
      <c r="I1366" s="28"/>
      <c r="J1366" s="28">
        <v>1429950</v>
      </c>
      <c r="K1366" s="488">
        <f t="shared" si="257"/>
        <v>62631.81</v>
      </c>
      <c r="L1366" s="469">
        <v>1367318.1900000002</v>
      </c>
      <c r="M1366" s="28">
        <v>1429950</v>
      </c>
      <c r="N1366" s="28">
        <v>1429950</v>
      </c>
    </row>
    <row r="1367" spans="1:14" s="20" customFormat="1">
      <c r="A1367" s="253"/>
      <c r="B1367" s="231"/>
      <c r="C1367" s="32" t="s">
        <v>47</v>
      </c>
      <c r="D1367" s="77">
        <v>22020310</v>
      </c>
      <c r="E1367" s="135" t="s">
        <v>819</v>
      </c>
      <c r="F1367" s="136">
        <v>1600000</v>
      </c>
      <c r="G1367" s="28">
        <v>1600000</v>
      </c>
      <c r="H1367" s="28"/>
      <c r="I1367" s="28"/>
      <c r="J1367" s="28">
        <v>1600000</v>
      </c>
      <c r="K1367" s="488">
        <f t="shared" si="257"/>
        <v>70080</v>
      </c>
      <c r="L1367" s="469">
        <v>1529920</v>
      </c>
      <c r="M1367" s="28">
        <v>4335500</v>
      </c>
      <c r="N1367" s="28">
        <v>4325500</v>
      </c>
    </row>
    <row r="1368" spans="1:14" s="20" customFormat="1">
      <c r="A1368" s="253"/>
      <c r="B1368" s="231"/>
      <c r="C1368" s="32" t="s">
        <v>47</v>
      </c>
      <c r="D1368" s="77">
        <v>22020311</v>
      </c>
      <c r="E1368" s="135" t="s">
        <v>823</v>
      </c>
      <c r="F1368" s="136">
        <v>30975000</v>
      </c>
      <c r="G1368" s="28">
        <v>30975000</v>
      </c>
      <c r="H1368" s="28"/>
      <c r="I1368" s="28"/>
      <c r="J1368" s="28">
        <v>30975000</v>
      </c>
      <c r="K1368" s="488">
        <f t="shared" si="257"/>
        <v>1356705</v>
      </c>
      <c r="L1368" s="469">
        <v>29618295</v>
      </c>
      <c r="M1368" s="28">
        <v>30975000</v>
      </c>
      <c r="N1368" s="28">
        <v>30975000</v>
      </c>
    </row>
    <row r="1369" spans="1:14" s="20" customFormat="1">
      <c r="A1369" s="253"/>
      <c r="B1369" s="231"/>
      <c r="C1369" s="32" t="s">
        <v>47</v>
      </c>
      <c r="D1369" s="77">
        <v>22020401</v>
      </c>
      <c r="E1369" s="135" t="s">
        <v>741</v>
      </c>
      <c r="F1369" s="136">
        <v>300000</v>
      </c>
      <c r="G1369" s="28">
        <v>300000</v>
      </c>
      <c r="H1369" s="28"/>
      <c r="I1369" s="28"/>
      <c r="J1369" s="28">
        <v>300000</v>
      </c>
      <c r="K1369" s="488">
        <f t="shared" si="257"/>
        <v>13140</v>
      </c>
      <c r="L1369" s="469">
        <v>286860</v>
      </c>
      <c r="M1369" s="28">
        <v>762000</v>
      </c>
      <c r="N1369" s="28">
        <v>762000</v>
      </c>
    </row>
    <row r="1370" spans="1:14" s="20" customFormat="1">
      <c r="A1370" s="253"/>
      <c r="B1370" s="231"/>
      <c r="C1370" s="32" t="s">
        <v>47</v>
      </c>
      <c r="D1370" s="77">
        <v>22020402</v>
      </c>
      <c r="E1370" s="135" t="s">
        <v>757</v>
      </c>
      <c r="F1370" s="136">
        <v>300000</v>
      </c>
      <c r="G1370" s="28">
        <v>300000</v>
      </c>
      <c r="H1370" s="28"/>
      <c r="I1370" s="28"/>
      <c r="J1370" s="28">
        <v>300000</v>
      </c>
      <c r="K1370" s="488">
        <f t="shared" si="257"/>
        <v>13140</v>
      </c>
      <c r="L1370" s="469">
        <v>286860</v>
      </c>
      <c r="M1370" s="28">
        <v>3000000</v>
      </c>
      <c r="N1370" s="28">
        <v>3000000</v>
      </c>
    </row>
    <row r="1371" spans="1:14" s="20" customFormat="1">
      <c r="A1371" s="253"/>
      <c r="B1371" s="231"/>
      <c r="C1371" s="32" t="s">
        <v>47</v>
      </c>
      <c r="D1371" s="77">
        <v>22020404</v>
      </c>
      <c r="E1371" s="135" t="s">
        <v>742</v>
      </c>
      <c r="F1371" s="136">
        <v>30000</v>
      </c>
      <c r="G1371" s="28">
        <v>30000</v>
      </c>
      <c r="H1371" s="28"/>
      <c r="I1371" s="28"/>
      <c r="J1371" s="28">
        <v>30000</v>
      </c>
      <c r="K1371" s="488">
        <f t="shared" si="257"/>
        <v>1314</v>
      </c>
      <c r="L1371" s="469">
        <v>28686</v>
      </c>
      <c r="M1371" s="28">
        <v>30000</v>
      </c>
      <c r="N1371" s="28">
        <v>30000</v>
      </c>
    </row>
    <row r="1372" spans="1:14" s="20" customFormat="1">
      <c r="A1372" s="253"/>
      <c r="B1372" s="231"/>
      <c r="C1372" s="32" t="s">
        <v>47</v>
      </c>
      <c r="D1372" s="77">
        <v>22020405</v>
      </c>
      <c r="E1372" s="135" t="s">
        <v>743</v>
      </c>
      <c r="F1372" s="136">
        <v>75000</v>
      </c>
      <c r="G1372" s="28">
        <v>75000</v>
      </c>
      <c r="H1372" s="28"/>
      <c r="I1372" s="28"/>
      <c r="J1372" s="28">
        <v>75000</v>
      </c>
      <c r="K1372" s="488">
        <f t="shared" si="257"/>
        <v>3285</v>
      </c>
      <c r="L1372" s="469">
        <v>71715</v>
      </c>
      <c r="M1372" s="28">
        <v>75000</v>
      </c>
      <c r="N1372" s="28">
        <v>75000</v>
      </c>
    </row>
    <row r="1373" spans="1:14" s="20" customFormat="1">
      <c r="A1373" s="253"/>
      <c r="B1373" s="231"/>
      <c r="C1373" s="32" t="s">
        <v>47</v>
      </c>
      <c r="D1373" s="77">
        <v>22020706</v>
      </c>
      <c r="E1373" s="135" t="s">
        <v>901</v>
      </c>
      <c r="F1373" s="136">
        <v>23157000</v>
      </c>
      <c r="G1373" s="28">
        <v>9157000</v>
      </c>
      <c r="H1373" s="28"/>
      <c r="I1373" s="28"/>
      <c r="J1373" s="28">
        <v>9157000</v>
      </c>
      <c r="K1373" s="488">
        <f t="shared" si="257"/>
        <v>401076.6</v>
      </c>
      <c r="L1373" s="469">
        <v>8755923.4000000004</v>
      </c>
      <c r="M1373" s="28">
        <v>0</v>
      </c>
      <c r="N1373" s="28">
        <v>0</v>
      </c>
    </row>
    <row r="1374" spans="1:14" s="20" customFormat="1">
      <c r="A1374" s="253"/>
      <c r="B1374" s="231"/>
      <c r="C1374" s="32" t="s">
        <v>47</v>
      </c>
      <c r="D1374" s="77">
        <v>22020801</v>
      </c>
      <c r="E1374" s="135" t="s">
        <v>747</v>
      </c>
      <c r="F1374" s="136">
        <v>268250</v>
      </c>
      <c r="G1374" s="28">
        <v>268250</v>
      </c>
      <c r="H1374" s="28"/>
      <c r="I1374" s="28"/>
      <c r="J1374" s="28">
        <v>268250</v>
      </c>
      <c r="K1374" s="488">
        <f t="shared" si="257"/>
        <v>11749.35</v>
      </c>
      <c r="L1374" s="469">
        <v>256500.65000000002</v>
      </c>
      <c r="M1374" s="28">
        <v>268250</v>
      </c>
      <c r="N1374" s="28">
        <v>268250</v>
      </c>
    </row>
    <row r="1375" spans="1:14" s="20" customFormat="1">
      <c r="A1375" s="253"/>
      <c r="B1375" s="231"/>
      <c r="C1375" s="32" t="s">
        <v>47</v>
      </c>
      <c r="D1375" s="77">
        <v>22020803</v>
      </c>
      <c r="E1375" s="135" t="s">
        <v>748</v>
      </c>
      <c r="F1375" s="136">
        <v>272400</v>
      </c>
      <c r="G1375" s="28">
        <v>272400</v>
      </c>
      <c r="H1375" s="28"/>
      <c r="I1375" s="28"/>
      <c r="J1375" s="28">
        <v>272400</v>
      </c>
      <c r="K1375" s="488">
        <f t="shared" si="257"/>
        <v>11931.119999999999</v>
      </c>
      <c r="L1375" s="469">
        <v>260468.88</v>
      </c>
      <c r="M1375" s="28">
        <v>272400</v>
      </c>
      <c r="N1375" s="28">
        <v>272400</v>
      </c>
    </row>
    <row r="1376" spans="1:14" s="20" customFormat="1">
      <c r="A1376" s="253"/>
      <c r="B1376" s="231"/>
      <c r="C1376" s="32" t="s">
        <v>47</v>
      </c>
      <c r="D1376" s="77">
        <v>22021001</v>
      </c>
      <c r="E1376" s="135" t="s">
        <v>772</v>
      </c>
      <c r="F1376" s="136">
        <v>180000</v>
      </c>
      <c r="G1376" s="28">
        <v>180000</v>
      </c>
      <c r="H1376" s="28"/>
      <c r="I1376" s="28"/>
      <c r="J1376" s="28">
        <v>180000</v>
      </c>
      <c r="K1376" s="488">
        <f t="shared" si="257"/>
        <v>7884</v>
      </c>
      <c r="L1376" s="469">
        <v>172116</v>
      </c>
      <c r="M1376" s="28">
        <v>180000</v>
      </c>
      <c r="N1376" s="28">
        <v>180000</v>
      </c>
    </row>
    <row r="1377" spans="1:14" s="20" customFormat="1">
      <c r="A1377" s="253"/>
      <c r="B1377" s="231"/>
      <c r="C1377" s="32" t="s">
        <v>47</v>
      </c>
      <c r="D1377" s="77">
        <v>22021003</v>
      </c>
      <c r="E1377" s="135" t="s">
        <v>760</v>
      </c>
      <c r="F1377" s="136">
        <v>100000</v>
      </c>
      <c r="G1377" s="28">
        <v>100000</v>
      </c>
      <c r="H1377" s="28"/>
      <c r="I1377" s="28"/>
      <c r="J1377" s="28">
        <v>100000</v>
      </c>
      <c r="K1377" s="488">
        <f t="shared" si="257"/>
        <v>4380</v>
      </c>
      <c r="L1377" s="469">
        <v>95620</v>
      </c>
      <c r="M1377" s="28">
        <v>100000</v>
      </c>
      <c r="N1377" s="28">
        <v>100000</v>
      </c>
    </row>
    <row r="1378" spans="1:14" s="20" customFormat="1">
      <c r="A1378" s="253"/>
      <c r="B1378" s="231"/>
      <c r="C1378" s="32" t="s">
        <v>47</v>
      </c>
      <c r="D1378" s="77">
        <v>22021021</v>
      </c>
      <c r="E1378" s="135" t="s">
        <v>832</v>
      </c>
      <c r="F1378" s="136">
        <v>1300000</v>
      </c>
      <c r="G1378" s="28">
        <v>1300000</v>
      </c>
      <c r="H1378" s="28"/>
      <c r="I1378" s="28"/>
      <c r="J1378" s="28">
        <v>1300000</v>
      </c>
      <c r="K1378" s="488">
        <f t="shared" si="257"/>
        <v>56940</v>
      </c>
      <c r="L1378" s="469">
        <v>1243060</v>
      </c>
      <c r="M1378" s="28">
        <v>3862250</v>
      </c>
      <c r="N1378" s="28">
        <v>3862250</v>
      </c>
    </row>
    <row r="1379" spans="1:14" s="20" customFormat="1">
      <c r="A1379" s="253"/>
      <c r="B1379" s="231"/>
      <c r="C1379" s="32" t="s">
        <v>47</v>
      </c>
      <c r="D1379" s="77">
        <v>22021039</v>
      </c>
      <c r="E1379" s="135" t="s">
        <v>977</v>
      </c>
      <c r="F1379" s="136">
        <v>5726000</v>
      </c>
      <c r="G1379" s="28">
        <v>5726000</v>
      </c>
      <c r="H1379" s="28"/>
      <c r="I1379" s="28"/>
      <c r="J1379" s="28">
        <v>5726000</v>
      </c>
      <c r="K1379" s="488">
        <f t="shared" si="257"/>
        <v>250798.8</v>
      </c>
      <c r="L1379" s="469">
        <v>5475201.2000000002</v>
      </c>
      <c r="M1379" s="28">
        <v>5726000</v>
      </c>
      <c r="N1379" s="28">
        <v>5726000</v>
      </c>
    </row>
    <row r="1380" spans="1:14" s="20" customFormat="1">
      <c r="A1380" s="253"/>
      <c r="B1380" s="231"/>
      <c r="C1380" s="32" t="s">
        <v>47</v>
      </c>
      <c r="D1380" s="77">
        <v>22021040</v>
      </c>
      <c r="E1380" s="135" t="s">
        <v>978</v>
      </c>
      <c r="F1380" s="136">
        <v>2678000</v>
      </c>
      <c r="G1380" s="28">
        <v>2678000</v>
      </c>
      <c r="H1380" s="28"/>
      <c r="I1380" s="28"/>
      <c r="J1380" s="28">
        <v>2678000</v>
      </c>
      <c r="K1380" s="488">
        <f t="shared" si="257"/>
        <v>117296.4</v>
      </c>
      <c r="L1380" s="469">
        <v>2560703.6</v>
      </c>
      <c r="M1380" s="28">
        <v>2678000</v>
      </c>
      <c r="N1380" s="28">
        <v>2678000</v>
      </c>
    </row>
    <row r="1381" spans="1:14" s="20" customFormat="1">
      <c r="A1381" s="238"/>
      <c r="B1381" s="231"/>
      <c r="C1381" s="30" t="s">
        <v>1837</v>
      </c>
      <c r="D1381" s="23"/>
      <c r="E1381" s="25"/>
      <c r="F1381" s="137">
        <f>SUM(F1364:F1380)</f>
        <v>69521600</v>
      </c>
      <c r="G1381" s="114">
        <f>SUM(G1364:G1380)</f>
        <v>55521600</v>
      </c>
      <c r="H1381" s="114">
        <f t="shared" ref="H1381:I1381" si="258">SUM(H1364:H1380)</f>
        <v>0</v>
      </c>
      <c r="I1381" s="114">
        <f t="shared" si="258"/>
        <v>0</v>
      </c>
      <c r="J1381" s="114">
        <f>SUM(J1364:J1380)</f>
        <v>55521600</v>
      </c>
      <c r="K1381" s="490">
        <f t="shared" si="257"/>
        <v>2431846.08</v>
      </c>
      <c r="L1381" s="468">
        <f>SUM(L1364:L1380)</f>
        <v>53089753.920000002</v>
      </c>
      <c r="M1381" s="114">
        <f>SUM(M1364:M1380)</f>
        <v>54824350</v>
      </c>
      <c r="N1381" s="114">
        <f>SUM(N1364:N1380)</f>
        <v>54814350</v>
      </c>
    </row>
    <row r="1382" spans="1:14" s="66" customFormat="1" ht="30">
      <c r="A1382" s="238" t="s">
        <v>976</v>
      </c>
      <c r="B1382" s="231" t="s">
        <v>1799</v>
      </c>
      <c r="C1382" s="30"/>
      <c r="D1382" s="23"/>
      <c r="E1382" s="25"/>
      <c r="F1382" s="137">
        <f>F1381+F1362</f>
        <v>109896697.40000002</v>
      </c>
      <c r="G1382" s="114">
        <f>G1381+G1362</f>
        <v>95896697.400000021</v>
      </c>
      <c r="H1382" s="114">
        <f t="shared" ref="H1382:I1382" si="259">H1381+H1362</f>
        <v>0</v>
      </c>
      <c r="I1382" s="114">
        <f t="shared" si="259"/>
        <v>0</v>
      </c>
      <c r="J1382" s="114">
        <f>J1381+J1362</f>
        <v>95896697.400000021</v>
      </c>
      <c r="K1382" s="490"/>
      <c r="L1382" s="468">
        <f>L1381+L1362</f>
        <v>93464851.320000023</v>
      </c>
      <c r="M1382" s="114">
        <f>M1381+M1362</f>
        <v>99236957.140000015</v>
      </c>
      <c r="N1382" s="114">
        <f>N1381+N1362</f>
        <v>103668217.85400003</v>
      </c>
    </row>
    <row r="1383" spans="1:14" s="20" customFormat="1" ht="21">
      <c r="A1383" s="252"/>
      <c r="B1383" s="443"/>
      <c r="C1383" s="228"/>
      <c r="D1383" s="229"/>
      <c r="E1383" s="230"/>
      <c r="F1383" s="215"/>
      <c r="G1383" s="296"/>
      <c r="H1383" s="296"/>
      <c r="I1383" s="296"/>
      <c r="J1383" s="28"/>
      <c r="K1383" s="488"/>
      <c r="L1383" s="468"/>
      <c r="M1383" s="296"/>
      <c r="N1383" s="296"/>
    </row>
    <row r="1384" spans="1:14" s="20" customFormat="1" ht="30">
      <c r="A1384" s="238" t="s">
        <v>979</v>
      </c>
      <c r="B1384" s="231" t="s">
        <v>131</v>
      </c>
      <c r="C1384" s="32" t="s">
        <v>46</v>
      </c>
      <c r="D1384" s="77">
        <v>21010101</v>
      </c>
      <c r="E1384" s="135" t="s">
        <v>725</v>
      </c>
      <c r="F1384" s="138">
        <v>5232956580.25</v>
      </c>
      <c r="G1384" s="297">
        <v>5232956580.25</v>
      </c>
      <c r="H1384" s="297"/>
      <c r="I1384" s="297">
        <v>627295372</v>
      </c>
      <c r="J1384" s="28">
        <v>4605661208.25</v>
      </c>
      <c r="K1384" s="488"/>
      <c r="L1384" s="467">
        <v>4605661208.25</v>
      </c>
      <c r="M1384" s="297">
        <f t="shared" ref="M1384:M1396" si="260">G1384*10%+G1384</f>
        <v>5756252238.2749996</v>
      </c>
      <c r="N1384" s="297">
        <f>M1384*10%+M1384</f>
        <v>6331877462.1025</v>
      </c>
    </row>
    <row r="1385" spans="1:14" s="20" customFormat="1" ht="18" customHeight="1">
      <c r="A1385" s="253"/>
      <c r="B1385" s="231"/>
      <c r="C1385" s="32" t="s">
        <v>46</v>
      </c>
      <c r="D1385" s="77">
        <v>21020101</v>
      </c>
      <c r="E1385" s="135" t="s">
        <v>726</v>
      </c>
      <c r="F1385" s="138">
        <v>1309497444.0599999</v>
      </c>
      <c r="G1385" s="297">
        <v>1309497444.0599999</v>
      </c>
      <c r="H1385" s="297"/>
      <c r="I1385" s="297"/>
      <c r="J1385" s="28">
        <v>1309497444.0599999</v>
      </c>
      <c r="K1385" s="488"/>
      <c r="L1385" s="467">
        <v>1309497444.0599999</v>
      </c>
      <c r="M1385" s="297">
        <f t="shared" si="260"/>
        <v>1440447188.4659998</v>
      </c>
      <c r="N1385" s="297">
        <f t="shared" ref="N1385:N1396" si="261">M1385*10%+M1385</f>
        <v>1584491907.3125999</v>
      </c>
    </row>
    <row r="1386" spans="1:14" s="20" customFormat="1" ht="18" customHeight="1">
      <c r="A1386" s="253"/>
      <c r="B1386" s="231"/>
      <c r="C1386" s="32" t="s">
        <v>46</v>
      </c>
      <c r="D1386" s="77">
        <v>21020102</v>
      </c>
      <c r="E1386" s="135" t="s">
        <v>727</v>
      </c>
      <c r="F1386" s="138">
        <v>523798977.62</v>
      </c>
      <c r="G1386" s="297">
        <v>523798977.62</v>
      </c>
      <c r="H1386" s="297"/>
      <c r="I1386" s="297"/>
      <c r="J1386" s="28">
        <v>523798977.62</v>
      </c>
      <c r="K1386" s="488"/>
      <c r="L1386" s="467">
        <v>523798977.62</v>
      </c>
      <c r="M1386" s="297">
        <f t="shared" si="260"/>
        <v>576178875.38199997</v>
      </c>
      <c r="N1386" s="297">
        <f t="shared" si="261"/>
        <v>633796762.92019999</v>
      </c>
    </row>
    <row r="1387" spans="1:14" s="20" customFormat="1" ht="18" customHeight="1">
      <c r="A1387" s="253"/>
      <c r="B1387" s="231"/>
      <c r="C1387" s="32" t="s">
        <v>46</v>
      </c>
      <c r="D1387" s="77">
        <v>21020103</v>
      </c>
      <c r="E1387" s="135" t="s">
        <v>728</v>
      </c>
      <c r="F1387" s="138">
        <v>261899488.81</v>
      </c>
      <c r="G1387" s="297">
        <v>261899488.81</v>
      </c>
      <c r="H1387" s="297"/>
      <c r="I1387" s="297"/>
      <c r="J1387" s="28">
        <v>261899488.81</v>
      </c>
      <c r="K1387" s="488"/>
      <c r="L1387" s="467">
        <v>261899488.81</v>
      </c>
      <c r="M1387" s="297">
        <f t="shared" si="260"/>
        <v>288089437.69099998</v>
      </c>
      <c r="N1387" s="297">
        <f t="shared" si="261"/>
        <v>316898381.4601</v>
      </c>
    </row>
    <row r="1388" spans="1:14" s="20" customFormat="1" ht="18" customHeight="1">
      <c r="A1388" s="253"/>
      <c r="B1388" s="231"/>
      <c r="C1388" s="32" t="s">
        <v>46</v>
      </c>
      <c r="D1388" s="77">
        <v>21020104</v>
      </c>
      <c r="E1388" s="135" t="s">
        <v>729</v>
      </c>
      <c r="F1388" s="138">
        <v>261899488.81</v>
      </c>
      <c r="G1388" s="297">
        <v>261899488.81</v>
      </c>
      <c r="H1388" s="297"/>
      <c r="I1388" s="297"/>
      <c r="J1388" s="28">
        <v>261899488.81</v>
      </c>
      <c r="K1388" s="488"/>
      <c r="L1388" s="467">
        <v>261899488.81</v>
      </c>
      <c r="M1388" s="297">
        <f t="shared" si="260"/>
        <v>288089437.69099998</v>
      </c>
      <c r="N1388" s="297">
        <f t="shared" si="261"/>
        <v>316898381.4601</v>
      </c>
    </row>
    <row r="1389" spans="1:14" s="20" customFormat="1" ht="18" customHeight="1">
      <c r="A1389" s="253"/>
      <c r="B1389" s="231"/>
      <c r="C1389" s="32" t="s">
        <v>46</v>
      </c>
      <c r="D1389" s="77">
        <v>21020105</v>
      </c>
      <c r="E1389" s="135" t="s">
        <v>730</v>
      </c>
      <c r="F1389" s="138">
        <v>46212005.399999999</v>
      </c>
      <c r="G1389" s="297">
        <v>46212005.399999999</v>
      </c>
      <c r="H1389" s="297"/>
      <c r="I1389" s="297"/>
      <c r="J1389" s="28">
        <v>46212005.399999999</v>
      </c>
      <c r="K1389" s="488"/>
      <c r="L1389" s="467">
        <v>46212005.399999999</v>
      </c>
      <c r="M1389" s="297">
        <f t="shared" si="260"/>
        <v>50833205.939999998</v>
      </c>
      <c r="N1389" s="297">
        <f t="shared" si="261"/>
        <v>55916526.533999994</v>
      </c>
    </row>
    <row r="1390" spans="1:14" s="20" customFormat="1" ht="18" customHeight="1">
      <c r="A1390" s="253"/>
      <c r="B1390" s="231"/>
      <c r="C1390" s="32" t="s">
        <v>46</v>
      </c>
      <c r="D1390" s="77">
        <v>21020106</v>
      </c>
      <c r="E1390" s="135" t="s">
        <v>731</v>
      </c>
      <c r="F1390" s="138">
        <v>481425561.52999997</v>
      </c>
      <c r="G1390" s="297">
        <v>481425561.52999997</v>
      </c>
      <c r="H1390" s="297"/>
      <c r="I1390" s="297"/>
      <c r="J1390" s="28">
        <v>481425561.52999997</v>
      </c>
      <c r="K1390" s="488"/>
      <c r="L1390" s="467">
        <v>481425561.52999997</v>
      </c>
      <c r="M1390" s="297">
        <f t="shared" si="260"/>
        <v>529568117.68299997</v>
      </c>
      <c r="N1390" s="297">
        <f t="shared" si="261"/>
        <v>582524929.45129991</v>
      </c>
    </row>
    <row r="1391" spans="1:14" s="20" customFormat="1" ht="18" customHeight="1">
      <c r="A1391" s="253"/>
      <c r="B1391" s="231"/>
      <c r="C1391" s="32" t="s">
        <v>46</v>
      </c>
      <c r="D1391" s="77">
        <v>21020107</v>
      </c>
      <c r="E1391" s="135" t="s">
        <v>732</v>
      </c>
      <c r="F1391" s="138">
        <v>404632800</v>
      </c>
      <c r="G1391" s="297">
        <v>404632800</v>
      </c>
      <c r="H1391" s="297"/>
      <c r="I1391" s="297"/>
      <c r="J1391" s="28">
        <v>404632800</v>
      </c>
      <c r="K1391" s="488"/>
      <c r="L1391" s="467">
        <v>404632800</v>
      </c>
      <c r="M1391" s="297">
        <f t="shared" si="260"/>
        <v>445096080</v>
      </c>
      <c r="N1391" s="297">
        <f t="shared" si="261"/>
        <v>489605688</v>
      </c>
    </row>
    <row r="1392" spans="1:14" s="20" customFormat="1" ht="18" customHeight="1">
      <c r="A1392" s="253"/>
      <c r="B1392" s="231"/>
      <c r="C1392" s="32" t="s">
        <v>46</v>
      </c>
      <c r="D1392" s="77">
        <v>21020110</v>
      </c>
      <c r="E1392" s="135" t="s">
        <v>733</v>
      </c>
      <c r="F1392" s="138">
        <v>5339647.5599999996</v>
      </c>
      <c r="G1392" s="297">
        <v>5339647.5599999996</v>
      </c>
      <c r="H1392" s="297"/>
      <c r="I1392" s="297"/>
      <c r="J1392" s="28">
        <v>5339647.5599999996</v>
      </c>
      <c r="K1392" s="488"/>
      <c r="L1392" s="467">
        <v>5339647.5599999996</v>
      </c>
      <c r="M1392" s="297">
        <f t="shared" si="260"/>
        <v>5873612.3159999996</v>
      </c>
      <c r="N1392" s="297">
        <f t="shared" si="261"/>
        <v>6460973.5475999992</v>
      </c>
    </row>
    <row r="1393" spans="1:14" s="20" customFormat="1" ht="18" customHeight="1">
      <c r="A1393" s="253"/>
      <c r="B1393" s="231"/>
      <c r="C1393" s="32" t="s">
        <v>46</v>
      </c>
      <c r="D1393" s="77">
        <v>21020124</v>
      </c>
      <c r="E1393" s="135" t="s">
        <v>734</v>
      </c>
      <c r="F1393" s="138">
        <v>2820596.88</v>
      </c>
      <c r="G1393" s="297">
        <v>2820596.88</v>
      </c>
      <c r="H1393" s="297"/>
      <c r="I1393" s="297"/>
      <c r="J1393" s="28">
        <v>2820596.88</v>
      </c>
      <c r="K1393" s="488"/>
      <c r="L1393" s="467">
        <v>2820596.88</v>
      </c>
      <c r="M1393" s="297">
        <f t="shared" si="260"/>
        <v>3102656.568</v>
      </c>
      <c r="N1393" s="297">
        <f t="shared" si="261"/>
        <v>3412922.2248</v>
      </c>
    </row>
    <row r="1394" spans="1:14" s="20" customFormat="1" ht="18" customHeight="1">
      <c r="A1394" s="253"/>
      <c r="B1394" s="231"/>
      <c r="C1394" s="32" t="s">
        <v>46</v>
      </c>
      <c r="D1394" s="77">
        <v>21020137</v>
      </c>
      <c r="E1394" s="135" t="s">
        <v>980</v>
      </c>
      <c r="F1394" s="138">
        <v>8645185.3200000003</v>
      </c>
      <c r="G1394" s="297">
        <v>8645185.3200000003</v>
      </c>
      <c r="H1394" s="297"/>
      <c r="I1394" s="297"/>
      <c r="J1394" s="28">
        <v>8645185.3200000003</v>
      </c>
      <c r="K1394" s="488"/>
      <c r="L1394" s="467">
        <v>8645185.3200000003</v>
      </c>
      <c r="M1394" s="297">
        <f t="shared" si="260"/>
        <v>9509703.852</v>
      </c>
      <c r="N1394" s="297">
        <f t="shared" si="261"/>
        <v>10460674.237199999</v>
      </c>
    </row>
    <row r="1395" spans="1:14" s="20" customFormat="1" ht="18" customHeight="1">
      <c r="A1395" s="253"/>
      <c r="B1395" s="231"/>
      <c r="C1395" s="32" t="s">
        <v>46</v>
      </c>
      <c r="D1395" s="77">
        <v>21020143</v>
      </c>
      <c r="E1395" s="135" t="s">
        <v>981</v>
      </c>
      <c r="F1395" s="138">
        <v>104894779.64</v>
      </c>
      <c r="G1395" s="297">
        <v>104894779.64</v>
      </c>
      <c r="H1395" s="297"/>
      <c r="I1395" s="297"/>
      <c r="J1395" s="28">
        <v>104894779.64</v>
      </c>
      <c r="K1395" s="488"/>
      <c r="L1395" s="467">
        <v>104894779.64</v>
      </c>
      <c r="M1395" s="297">
        <f t="shared" si="260"/>
        <v>115384257.604</v>
      </c>
      <c r="N1395" s="297">
        <f t="shared" si="261"/>
        <v>126922683.3644</v>
      </c>
    </row>
    <row r="1396" spans="1:14" s="20" customFormat="1" ht="18" customHeight="1">
      <c r="A1396" s="253"/>
      <c r="B1396" s="231"/>
      <c r="C1396" s="32" t="s">
        <v>46</v>
      </c>
      <c r="D1396" s="77">
        <v>21020150</v>
      </c>
      <c r="E1396" s="135" t="s">
        <v>982</v>
      </c>
      <c r="F1396" s="138">
        <f>238786716.39+12243723.49</f>
        <v>251030439.88</v>
      </c>
      <c r="G1396" s="297">
        <f>238786716.39+12243723.49</f>
        <v>251030439.88</v>
      </c>
      <c r="H1396" s="297"/>
      <c r="I1396" s="297"/>
      <c r="J1396" s="28">
        <v>251030439.88</v>
      </c>
      <c r="K1396" s="488"/>
      <c r="L1396" s="467">
        <v>251030439.88</v>
      </c>
      <c r="M1396" s="297">
        <f t="shared" si="260"/>
        <v>276133483.86799997</v>
      </c>
      <c r="N1396" s="297">
        <f t="shared" si="261"/>
        <v>303746832.25479996</v>
      </c>
    </row>
    <row r="1397" spans="1:14" s="20" customFormat="1" ht="18" customHeight="1">
      <c r="A1397" s="238"/>
      <c r="B1397" s="231"/>
      <c r="C1397" s="30" t="s">
        <v>1836</v>
      </c>
      <c r="D1397" s="23"/>
      <c r="E1397" s="25"/>
      <c r="F1397" s="137">
        <f>SUM(F1384:F1396)</f>
        <v>8895052995.7599983</v>
      </c>
      <c r="G1397" s="114">
        <f>SUM(G1384:G1396)</f>
        <v>8895052995.7599983</v>
      </c>
      <c r="H1397" s="114">
        <f t="shared" ref="H1397:I1397" si="262">SUM(H1384:H1396)</f>
        <v>0</v>
      </c>
      <c r="I1397" s="114">
        <f t="shared" si="262"/>
        <v>627295372</v>
      </c>
      <c r="J1397" s="114">
        <f>SUM(J1384:J1396)</f>
        <v>8267757623.7600002</v>
      </c>
      <c r="K1397" s="490"/>
      <c r="L1397" s="468">
        <f>SUM(L1384:L1396)</f>
        <v>8267757623.7600002</v>
      </c>
      <c r="M1397" s="114">
        <f>SUM(M1384:M1396)</f>
        <v>9784558295.3359985</v>
      </c>
      <c r="N1397" s="114">
        <f>SUM(N1384:N1396)</f>
        <v>10763014124.869602</v>
      </c>
    </row>
    <row r="1398" spans="1:14" s="20" customFormat="1" ht="18" customHeight="1">
      <c r="A1398" s="253"/>
      <c r="B1398" s="231"/>
      <c r="C1398" s="32" t="s">
        <v>47</v>
      </c>
      <c r="D1398" s="77">
        <v>22020105</v>
      </c>
      <c r="E1398" s="135" t="s">
        <v>1733</v>
      </c>
      <c r="F1398" s="136">
        <v>15763000</v>
      </c>
      <c r="G1398" s="28">
        <v>15763000</v>
      </c>
      <c r="H1398" s="28"/>
      <c r="I1398" s="28"/>
      <c r="J1398" s="28">
        <v>15763000</v>
      </c>
      <c r="K1398" s="488">
        <f>J1398*4.38%</f>
        <v>690419.4</v>
      </c>
      <c r="L1398" s="469">
        <v>15072580.600000001</v>
      </c>
      <c r="M1398" s="28">
        <v>15763000</v>
      </c>
      <c r="N1398" s="28">
        <v>15763000</v>
      </c>
    </row>
    <row r="1399" spans="1:14" s="20" customFormat="1" ht="18" customHeight="1">
      <c r="A1399" s="253"/>
      <c r="B1399" s="231"/>
      <c r="C1399" s="32" t="s">
        <v>47</v>
      </c>
      <c r="D1399" s="77">
        <v>22020108</v>
      </c>
      <c r="E1399" s="135" t="s">
        <v>812</v>
      </c>
      <c r="F1399" s="136">
        <v>7020060</v>
      </c>
      <c r="G1399" s="28">
        <v>7020060</v>
      </c>
      <c r="H1399" s="28"/>
      <c r="I1399" s="28"/>
      <c r="J1399" s="28">
        <v>7020060</v>
      </c>
      <c r="K1399" s="488">
        <f t="shared" ref="K1399:K1426" si="263">J1399*4.38%</f>
        <v>307478.62799999997</v>
      </c>
      <c r="L1399" s="469">
        <v>6712581.3720000004</v>
      </c>
      <c r="M1399" s="28">
        <v>7020060</v>
      </c>
      <c r="N1399" s="28">
        <v>7020060</v>
      </c>
    </row>
    <row r="1400" spans="1:14" s="20" customFormat="1" ht="18" customHeight="1">
      <c r="A1400" s="253"/>
      <c r="B1400" s="231"/>
      <c r="C1400" s="32" t="s">
        <v>47</v>
      </c>
      <c r="D1400" s="77">
        <v>22020203</v>
      </c>
      <c r="E1400" s="135" t="s">
        <v>779</v>
      </c>
      <c r="F1400" s="136">
        <v>10300000</v>
      </c>
      <c r="G1400" s="28">
        <v>10300000</v>
      </c>
      <c r="H1400" s="28"/>
      <c r="I1400" s="28"/>
      <c r="J1400" s="28">
        <v>10300000</v>
      </c>
      <c r="K1400" s="488">
        <f t="shared" si="263"/>
        <v>451140</v>
      </c>
      <c r="L1400" s="469">
        <v>9848860</v>
      </c>
      <c r="M1400" s="28">
        <v>10300000</v>
      </c>
      <c r="N1400" s="28">
        <v>10300000</v>
      </c>
    </row>
    <row r="1401" spans="1:14" s="20" customFormat="1" ht="18" customHeight="1">
      <c r="A1401" s="253"/>
      <c r="B1401" s="231"/>
      <c r="C1401" s="32" t="s">
        <v>47</v>
      </c>
      <c r="D1401" s="77">
        <v>22020301</v>
      </c>
      <c r="E1401" s="135" t="s">
        <v>737</v>
      </c>
      <c r="F1401" s="136">
        <v>8327500</v>
      </c>
      <c r="G1401" s="28">
        <v>8327500</v>
      </c>
      <c r="H1401" s="28"/>
      <c r="I1401" s="28"/>
      <c r="J1401" s="28">
        <v>8327500</v>
      </c>
      <c r="K1401" s="488">
        <f t="shared" si="263"/>
        <v>364744.5</v>
      </c>
      <c r="L1401" s="469">
        <v>7962755.5</v>
      </c>
      <c r="M1401" s="28">
        <v>8327500</v>
      </c>
      <c r="N1401" s="28">
        <v>8327500</v>
      </c>
    </row>
    <row r="1402" spans="1:14" s="20" customFormat="1" ht="18" customHeight="1">
      <c r="A1402" s="253"/>
      <c r="B1402" s="231"/>
      <c r="C1402" s="32" t="s">
        <v>47</v>
      </c>
      <c r="D1402" s="77">
        <v>22020305</v>
      </c>
      <c r="E1402" s="135" t="s">
        <v>755</v>
      </c>
      <c r="F1402" s="136">
        <v>63850000</v>
      </c>
      <c r="G1402" s="28">
        <v>63850000</v>
      </c>
      <c r="H1402" s="28"/>
      <c r="I1402" s="28"/>
      <c r="J1402" s="28">
        <v>63850000</v>
      </c>
      <c r="K1402" s="488">
        <f t="shared" si="263"/>
        <v>2796630</v>
      </c>
      <c r="L1402" s="469">
        <v>61053370</v>
      </c>
      <c r="M1402" s="28">
        <v>63850000</v>
      </c>
      <c r="N1402" s="28">
        <v>63850000</v>
      </c>
    </row>
    <row r="1403" spans="1:14" s="20" customFormat="1" ht="18" customHeight="1">
      <c r="A1403" s="253"/>
      <c r="B1403" s="231"/>
      <c r="C1403" s="32" t="s">
        <v>47</v>
      </c>
      <c r="D1403" s="77">
        <v>22020306</v>
      </c>
      <c r="E1403" s="135" t="s">
        <v>765</v>
      </c>
      <c r="F1403" s="136">
        <v>1330000</v>
      </c>
      <c r="G1403" s="28">
        <v>1330000</v>
      </c>
      <c r="H1403" s="28"/>
      <c r="I1403" s="28"/>
      <c r="J1403" s="28">
        <v>1330000</v>
      </c>
      <c r="K1403" s="488">
        <f t="shared" si="263"/>
        <v>58254</v>
      </c>
      <c r="L1403" s="469">
        <v>1271746</v>
      </c>
      <c r="M1403" s="28">
        <v>1330000</v>
      </c>
      <c r="N1403" s="28">
        <v>1330000</v>
      </c>
    </row>
    <row r="1404" spans="1:14" s="20" customFormat="1" ht="18" customHeight="1">
      <c r="A1404" s="253"/>
      <c r="B1404" s="231"/>
      <c r="C1404" s="32" t="s">
        <v>47</v>
      </c>
      <c r="D1404" s="77">
        <v>22020310</v>
      </c>
      <c r="E1404" s="135" t="s">
        <v>819</v>
      </c>
      <c r="F1404" s="136">
        <v>3250000</v>
      </c>
      <c r="G1404" s="28">
        <v>3250000</v>
      </c>
      <c r="H1404" s="28"/>
      <c r="I1404" s="28"/>
      <c r="J1404" s="28">
        <v>3250000</v>
      </c>
      <c r="K1404" s="488">
        <f t="shared" si="263"/>
        <v>142350</v>
      </c>
      <c r="L1404" s="469">
        <v>3107650</v>
      </c>
      <c r="M1404" s="28">
        <v>3250000</v>
      </c>
      <c r="N1404" s="28">
        <v>3250000</v>
      </c>
    </row>
    <row r="1405" spans="1:14" s="20" customFormat="1" ht="18" customHeight="1">
      <c r="A1405" s="253"/>
      <c r="B1405" s="231"/>
      <c r="C1405" s="32" t="s">
        <v>47</v>
      </c>
      <c r="D1405" s="77">
        <v>22020315</v>
      </c>
      <c r="E1405" s="135" t="s">
        <v>740</v>
      </c>
      <c r="F1405" s="136">
        <v>3275000</v>
      </c>
      <c r="G1405" s="28">
        <v>3275000</v>
      </c>
      <c r="H1405" s="28"/>
      <c r="I1405" s="28"/>
      <c r="J1405" s="28">
        <v>3275000</v>
      </c>
      <c r="K1405" s="488">
        <f t="shared" si="263"/>
        <v>143445</v>
      </c>
      <c r="L1405" s="469">
        <v>3131555</v>
      </c>
      <c r="M1405" s="28">
        <v>3275000</v>
      </c>
      <c r="N1405" s="28">
        <v>3275000</v>
      </c>
    </row>
    <row r="1406" spans="1:14" s="20" customFormat="1" ht="18" customHeight="1">
      <c r="A1406" s="253"/>
      <c r="B1406" s="231"/>
      <c r="C1406" s="32" t="s">
        <v>47</v>
      </c>
      <c r="D1406" s="77">
        <v>22020401</v>
      </c>
      <c r="E1406" s="135" t="s">
        <v>741</v>
      </c>
      <c r="F1406" s="136">
        <v>3000000</v>
      </c>
      <c r="G1406" s="28">
        <v>3000000</v>
      </c>
      <c r="H1406" s="28"/>
      <c r="I1406" s="28"/>
      <c r="J1406" s="28">
        <v>3000000</v>
      </c>
      <c r="K1406" s="488">
        <f t="shared" si="263"/>
        <v>131400</v>
      </c>
      <c r="L1406" s="469">
        <v>2868600</v>
      </c>
      <c r="M1406" s="28">
        <v>3000000</v>
      </c>
      <c r="N1406" s="28">
        <v>3000000</v>
      </c>
    </row>
    <row r="1407" spans="1:14" s="20" customFormat="1" ht="18" customHeight="1">
      <c r="A1407" s="253"/>
      <c r="B1407" s="231"/>
      <c r="C1407" s="32" t="s">
        <v>47</v>
      </c>
      <c r="D1407" s="77">
        <v>22020402</v>
      </c>
      <c r="E1407" s="135" t="s">
        <v>757</v>
      </c>
      <c r="F1407" s="136">
        <v>430000</v>
      </c>
      <c r="G1407" s="28">
        <v>430000</v>
      </c>
      <c r="H1407" s="28"/>
      <c r="I1407" s="28"/>
      <c r="J1407" s="28">
        <v>430000</v>
      </c>
      <c r="K1407" s="488">
        <f t="shared" si="263"/>
        <v>18834</v>
      </c>
      <c r="L1407" s="469">
        <v>411166</v>
      </c>
      <c r="M1407" s="28">
        <v>430000</v>
      </c>
      <c r="N1407" s="28">
        <v>430000</v>
      </c>
    </row>
    <row r="1408" spans="1:14" s="20" customFormat="1" ht="18" customHeight="1">
      <c r="A1408" s="253"/>
      <c r="B1408" s="231"/>
      <c r="C1408" s="32" t="s">
        <v>47</v>
      </c>
      <c r="D1408" s="77">
        <v>22020404</v>
      </c>
      <c r="E1408" s="135" t="s">
        <v>742</v>
      </c>
      <c r="F1408" s="136">
        <v>580000</v>
      </c>
      <c r="G1408" s="28">
        <v>580000</v>
      </c>
      <c r="H1408" s="28"/>
      <c r="I1408" s="28"/>
      <c r="J1408" s="28">
        <v>580000</v>
      </c>
      <c r="K1408" s="488">
        <f t="shared" si="263"/>
        <v>25404</v>
      </c>
      <c r="L1408" s="469">
        <v>554596</v>
      </c>
      <c r="M1408" s="28">
        <v>580000</v>
      </c>
      <c r="N1408" s="28">
        <v>580000</v>
      </c>
    </row>
    <row r="1409" spans="1:14" s="20" customFormat="1" ht="18" customHeight="1">
      <c r="A1409" s="253"/>
      <c r="B1409" s="231"/>
      <c r="C1409" s="32" t="s">
        <v>47</v>
      </c>
      <c r="D1409" s="77">
        <v>22020414</v>
      </c>
      <c r="E1409" s="135" t="s">
        <v>983</v>
      </c>
      <c r="F1409" s="136">
        <v>3350000</v>
      </c>
      <c r="G1409" s="28">
        <v>3350000</v>
      </c>
      <c r="H1409" s="28"/>
      <c r="I1409" s="28"/>
      <c r="J1409" s="28">
        <v>3350000</v>
      </c>
      <c r="K1409" s="488">
        <f t="shared" si="263"/>
        <v>146730</v>
      </c>
      <c r="L1409" s="469">
        <v>3203270</v>
      </c>
      <c r="M1409" s="28">
        <v>10350000</v>
      </c>
      <c r="N1409" s="28">
        <v>10350000</v>
      </c>
    </row>
    <row r="1410" spans="1:14" s="20" customFormat="1" ht="18" customHeight="1">
      <c r="A1410" s="253"/>
      <c r="B1410" s="231"/>
      <c r="C1410" s="32" t="s">
        <v>47</v>
      </c>
      <c r="D1410" s="77">
        <v>22020416</v>
      </c>
      <c r="E1410" s="135" t="s">
        <v>782</v>
      </c>
      <c r="F1410" s="136">
        <v>2400000</v>
      </c>
      <c r="G1410" s="405">
        <v>0</v>
      </c>
      <c r="H1410" s="405"/>
      <c r="I1410" s="405"/>
      <c r="J1410" s="28">
        <v>0</v>
      </c>
      <c r="K1410" s="488">
        <f t="shared" si="263"/>
        <v>0</v>
      </c>
      <c r="L1410" s="469">
        <v>0</v>
      </c>
      <c r="M1410" s="28">
        <v>2400000</v>
      </c>
      <c r="N1410" s="28">
        <v>2400000</v>
      </c>
    </row>
    <row r="1411" spans="1:14" s="20" customFormat="1" ht="18" customHeight="1">
      <c r="A1411" s="253"/>
      <c r="B1411" s="231"/>
      <c r="C1411" s="32" t="s">
        <v>47</v>
      </c>
      <c r="D1411" s="77">
        <v>22020505</v>
      </c>
      <c r="E1411" s="135" t="s">
        <v>843</v>
      </c>
      <c r="F1411" s="136">
        <v>11179168</v>
      </c>
      <c r="G1411" s="405">
        <v>0</v>
      </c>
      <c r="H1411" s="405"/>
      <c r="I1411" s="405"/>
      <c r="J1411" s="28">
        <v>0</v>
      </c>
      <c r="K1411" s="488">
        <f t="shared" si="263"/>
        <v>0</v>
      </c>
      <c r="L1411" s="469">
        <v>0</v>
      </c>
      <c r="M1411" s="28">
        <v>11179168</v>
      </c>
      <c r="N1411" s="28">
        <v>11179168</v>
      </c>
    </row>
    <row r="1412" spans="1:14" s="20" customFormat="1" ht="18" customHeight="1">
      <c r="A1412" s="253"/>
      <c r="B1412" s="231"/>
      <c r="C1412" s="32" t="s">
        <v>47</v>
      </c>
      <c r="D1412" s="77">
        <v>22020605</v>
      </c>
      <c r="E1412" s="135" t="s">
        <v>768</v>
      </c>
      <c r="F1412" s="136">
        <v>2004000</v>
      </c>
      <c r="G1412" s="405">
        <v>0</v>
      </c>
      <c r="H1412" s="405"/>
      <c r="I1412" s="405"/>
      <c r="J1412" s="28">
        <v>0</v>
      </c>
      <c r="K1412" s="488">
        <f t="shared" si="263"/>
        <v>0</v>
      </c>
      <c r="L1412" s="469">
        <v>0</v>
      </c>
      <c r="M1412" s="28">
        <v>2004000</v>
      </c>
      <c r="N1412" s="28">
        <v>2004000</v>
      </c>
    </row>
    <row r="1413" spans="1:14" s="20" customFormat="1" ht="18" customHeight="1">
      <c r="A1413" s="253"/>
      <c r="B1413" s="231"/>
      <c r="C1413" s="32" t="s">
        <v>47</v>
      </c>
      <c r="D1413" s="77">
        <v>22020702</v>
      </c>
      <c r="E1413" s="135" t="s">
        <v>964</v>
      </c>
      <c r="F1413" s="136">
        <v>22550000</v>
      </c>
      <c r="G1413" s="28">
        <v>22550000</v>
      </c>
      <c r="H1413" s="28"/>
      <c r="I1413" s="28"/>
      <c r="J1413" s="28">
        <v>22550000</v>
      </c>
      <c r="K1413" s="488">
        <f t="shared" si="263"/>
        <v>987690</v>
      </c>
      <c r="L1413" s="469">
        <v>21562310</v>
      </c>
      <c r="M1413" s="28">
        <v>9450000</v>
      </c>
      <c r="N1413" s="28">
        <v>9450000</v>
      </c>
    </row>
    <row r="1414" spans="1:14" s="20" customFormat="1" ht="18" customHeight="1">
      <c r="A1414" s="253"/>
      <c r="B1414" s="231"/>
      <c r="C1414" s="32" t="s">
        <v>47</v>
      </c>
      <c r="D1414" s="77">
        <v>22020712</v>
      </c>
      <c r="E1414" s="135" t="s">
        <v>984</v>
      </c>
      <c r="F1414" s="136">
        <v>4328475</v>
      </c>
      <c r="G1414" s="28">
        <v>4328475</v>
      </c>
      <c r="H1414" s="28"/>
      <c r="I1414" s="28"/>
      <c r="J1414" s="28">
        <v>4328475</v>
      </c>
      <c r="K1414" s="488">
        <f t="shared" si="263"/>
        <v>189587.20499999999</v>
      </c>
      <c r="L1414" s="469">
        <v>4138887.7950000004</v>
      </c>
      <c r="M1414" s="28">
        <v>4328475</v>
      </c>
      <c r="N1414" s="28">
        <v>4328475</v>
      </c>
    </row>
    <row r="1415" spans="1:14" s="20" customFormat="1" ht="18" customHeight="1">
      <c r="A1415" s="253"/>
      <c r="B1415" s="231"/>
      <c r="C1415" s="32" t="s">
        <v>47</v>
      </c>
      <c r="D1415" s="77">
        <v>22020801</v>
      </c>
      <c r="E1415" s="135" t="s">
        <v>747</v>
      </c>
      <c r="F1415" s="136">
        <v>3270725</v>
      </c>
      <c r="G1415" s="28">
        <v>3270725</v>
      </c>
      <c r="H1415" s="28"/>
      <c r="I1415" s="28"/>
      <c r="J1415" s="28">
        <v>3270725</v>
      </c>
      <c r="K1415" s="488">
        <f t="shared" si="263"/>
        <v>143257.755</v>
      </c>
      <c r="L1415" s="469">
        <v>3127467.2450000001</v>
      </c>
      <c r="M1415" s="28">
        <v>3270725</v>
      </c>
      <c r="N1415" s="28">
        <v>3270725</v>
      </c>
    </row>
    <row r="1416" spans="1:14" s="20" customFormat="1" ht="18" customHeight="1">
      <c r="A1416" s="253"/>
      <c r="B1416" s="231"/>
      <c r="C1416" s="32" t="s">
        <v>47</v>
      </c>
      <c r="D1416" s="77">
        <v>22020803</v>
      </c>
      <c r="E1416" s="135" t="s">
        <v>748</v>
      </c>
      <c r="F1416" s="136">
        <v>2400000</v>
      </c>
      <c r="G1416" s="28">
        <v>2400000</v>
      </c>
      <c r="H1416" s="28"/>
      <c r="I1416" s="28"/>
      <c r="J1416" s="28">
        <v>2400000</v>
      </c>
      <c r="K1416" s="488">
        <f t="shared" si="263"/>
        <v>105120</v>
      </c>
      <c r="L1416" s="469">
        <v>2294880</v>
      </c>
      <c r="M1416" s="28">
        <v>2400000</v>
      </c>
      <c r="N1416" s="28">
        <v>2400000</v>
      </c>
    </row>
    <row r="1417" spans="1:14" s="20" customFormat="1" ht="18" customHeight="1">
      <c r="A1417" s="253"/>
      <c r="B1417" s="231"/>
      <c r="C1417" s="32" t="s">
        <v>47</v>
      </c>
      <c r="D1417" s="77">
        <v>22021001</v>
      </c>
      <c r="E1417" s="135" t="s">
        <v>772</v>
      </c>
      <c r="F1417" s="136">
        <v>2745000</v>
      </c>
      <c r="G1417" s="28">
        <v>2745000</v>
      </c>
      <c r="H1417" s="28"/>
      <c r="I1417" s="28"/>
      <c r="J1417" s="28">
        <v>2745000</v>
      </c>
      <c r="K1417" s="488">
        <f t="shared" si="263"/>
        <v>120231</v>
      </c>
      <c r="L1417" s="469">
        <v>2624769</v>
      </c>
      <c r="M1417" s="28">
        <v>2745000</v>
      </c>
      <c r="N1417" s="28">
        <v>2745000</v>
      </c>
    </row>
    <row r="1418" spans="1:14" s="20" customFormat="1" ht="18" customHeight="1">
      <c r="A1418" s="253"/>
      <c r="B1418" s="231"/>
      <c r="C1418" s="32" t="s">
        <v>47</v>
      </c>
      <c r="D1418" s="77">
        <v>22021003</v>
      </c>
      <c r="E1418" s="135" t="s">
        <v>760</v>
      </c>
      <c r="F1418" s="136">
        <v>30000</v>
      </c>
      <c r="G1418" s="28">
        <v>30000</v>
      </c>
      <c r="H1418" s="28"/>
      <c r="I1418" s="28"/>
      <c r="J1418" s="28">
        <v>30000</v>
      </c>
      <c r="K1418" s="488">
        <f t="shared" si="263"/>
        <v>1314</v>
      </c>
      <c r="L1418" s="469">
        <v>28686</v>
      </c>
      <c r="M1418" s="28">
        <v>30000</v>
      </c>
      <c r="N1418" s="28">
        <v>30000</v>
      </c>
    </row>
    <row r="1419" spans="1:14" s="20" customFormat="1" ht="18" customHeight="1">
      <c r="A1419" s="253"/>
      <c r="B1419" s="231"/>
      <c r="C1419" s="32" t="s">
        <v>47</v>
      </c>
      <c r="D1419" s="77">
        <v>22021005</v>
      </c>
      <c r="E1419" s="135" t="s">
        <v>971</v>
      </c>
      <c r="F1419" s="136">
        <v>150000000</v>
      </c>
      <c r="G1419" s="28">
        <v>150000000</v>
      </c>
      <c r="H1419" s="28"/>
      <c r="I1419" s="28"/>
      <c r="J1419" s="28">
        <v>150000000</v>
      </c>
      <c r="K1419" s="488">
        <f t="shared" si="263"/>
        <v>6570000</v>
      </c>
      <c r="L1419" s="469">
        <v>143430000</v>
      </c>
      <c r="M1419" s="28">
        <v>235857600</v>
      </c>
      <c r="N1419" s="28">
        <v>228107600</v>
      </c>
    </row>
    <row r="1420" spans="1:14" s="20" customFormat="1" ht="18" customHeight="1">
      <c r="A1420" s="253"/>
      <c r="B1420" s="231"/>
      <c r="C1420" s="32" t="s">
        <v>47</v>
      </c>
      <c r="D1420" s="77">
        <v>22021009</v>
      </c>
      <c r="E1420" s="135" t="s">
        <v>873</v>
      </c>
      <c r="F1420" s="136">
        <v>10673260</v>
      </c>
      <c r="G1420" s="28">
        <v>150000000</v>
      </c>
      <c r="H1420" s="28"/>
      <c r="I1420" s="28"/>
      <c r="J1420" s="28">
        <v>150000000</v>
      </c>
      <c r="K1420" s="488">
        <f t="shared" si="263"/>
        <v>6570000</v>
      </c>
      <c r="L1420" s="469">
        <v>143430000</v>
      </c>
      <c r="M1420" s="28">
        <f>G1420*10%+G1420</f>
        <v>165000000</v>
      </c>
      <c r="N1420" s="28">
        <f>M1420*10%+M1420</f>
        <v>181500000</v>
      </c>
    </row>
    <row r="1421" spans="1:14" s="20" customFormat="1" ht="18" customHeight="1">
      <c r="A1421" s="253"/>
      <c r="B1421" s="231"/>
      <c r="C1421" s="32" t="s">
        <v>47</v>
      </c>
      <c r="D1421" s="77">
        <v>22021018</v>
      </c>
      <c r="E1421" s="135" t="s">
        <v>985</v>
      </c>
      <c r="F1421" s="136">
        <v>16625000</v>
      </c>
      <c r="G1421" s="28">
        <v>16625000</v>
      </c>
      <c r="H1421" s="28"/>
      <c r="I1421" s="28"/>
      <c r="J1421" s="28">
        <v>16625000</v>
      </c>
      <c r="K1421" s="488">
        <f t="shared" si="263"/>
        <v>728175</v>
      </c>
      <c r="L1421" s="469">
        <v>15896825</v>
      </c>
      <c r="M1421" s="28">
        <v>8625000</v>
      </c>
      <c r="N1421" s="28">
        <v>8625000</v>
      </c>
    </row>
    <row r="1422" spans="1:14" s="20" customFormat="1" ht="18" customHeight="1">
      <c r="A1422" s="253"/>
      <c r="B1422" s="231"/>
      <c r="C1422" s="32" t="s">
        <v>47</v>
      </c>
      <c r="D1422" s="77">
        <v>22021033</v>
      </c>
      <c r="E1422" s="135" t="s">
        <v>986</v>
      </c>
      <c r="F1422" s="136">
        <v>2500000</v>
      </c>
      <c r="G1422" s="28">
        <v>2500000</v>
      </c>
      <c r="H1422" s="28"/>
      <c r="I1422" s="28"/>
      <c r="J1422" s="28">
        <v>2500000</v>
      </c>
      <c r="K1422" s="488">
        <f t="shared" si="263"/>
        <v>109500</v>
      </c>
      <c r="L1422" s="469">
        <v>2390500</v>
      </c>
      <c r="M1422" s="28">
        <v>5290000</v>
      </c>
      <c r="N1422" s="28">
        <v>5290000</v>
      </c>
    </row>
    <row r="1423" spans="1:14" s="20" customFormat="1" ht="18" customHeight="1">
      <c r="A1423" s="253"/>
      <c r="B1423" s="231"/>
      <c r="C1423" s="32" t="s">
        <v>47</v>
      </c>
      <c r="D1423" s="77">
        <v>22021034</v>
      </c>
      <c r="E1423" s="135" t="s">
        <v>987</v>
      </c>
      <c r="F1423" s="136">
        <v>2000000</v>
      </c>
      <c r="G1423" s="28">
        <v>2000000</v>
      </c>
      <c r="H1423" s="28"/>
      <c r="I1423" s="28"/>
      <c r="J1423" s="28">
        <v>2000000</v>
      </c>
      <c r="K1423" s="488">
        <f t="shared" si="263"/>
        <v>87600</v>
      </c>
      <c r="L1423" s="469">
        <v>1912400</v>
      </c>
      <c r="M1423" s="28">
        <v>17370000</v>
      </c>
      <c r="N1423" s="28">
        <v>17370000</v>
      </c>
    </row>
    <row r="1424" spans="1:14" s="20" customFormat="1" ht="18" customHeight="1">
      <c r="A1424" s="253"/>
      <c r="B1424" s="231"/>
      <c r="C1424" s="32" t="s">
        <v>47</v>
      </c>
      <c r="D1424" s="77">
        <v>22021035</v>
      </c>
      <c r="E1424" s="135" t="s">
        <v>988</v>
      </c>
      <c r="F1424" s="136">
        <v>20000000</v>
      </c>
      <c r="G1424" s="28">
        <v>20000000</v>
      </c>
      <c r="H1424" s="28"/>
      <c r="I1424" s="28"/>
      <c r="J1424" s="28">
        <v>20000000</v>
      </c>
      <c r="K1424" s="488">
        <f t="shared" si="263"/>
        <v>876000</v>
      </c>
      <c r="L1424" s="469">
        <v>19124000</v>
      </c>
      <c r="M1424" s="28">
        <v>57710000</v>
      </c>
      <c r="N1424" s="28">
        <v>57710000</v>
      </c>
    </row>
    <row r="1425" spans="1:14" s="20" customFormat="1" ht="18" customHeight="1">
      <c r="A1425" s="253"/>
      <c r="B1425" s="231"/>
      <c r="C1425" s="32" t="s">
        <v>47</v>
      </c>
      <c r="D1425" s="77">
        <v>22040117</v>
      </c>
      <c r="E1425" s="135" t="s">
        <v>989</v>
      </c>
      <c r="F1425" s="136">
        <v>700000000</v>
      </c>
      <c r="G1425" s="28">
        <v>700000000</v>
      </c>
      <c r="H1425" s="28"/>
      <c r="I1425" s="28"/>
      <c r="J1425" s="28">
        <v>700000000</v>
      </c>
      <c r="K1425" s="488">
        <f t="shared" si="263"/>
        <v>30660000</v>
      </c>
      <c r="L1425" s="469">
        <v>669340000</v>
      </c>
      <c r="M1425" s="28">
        <v>800000000</v>
      </c>
      <c r="N1425" s="28">
        <v>800000000</v>
      </c>
    </row>
    <row r="1426" spans="1:14" s="20" customFormat="1" ht="18" customHeight="1">
      <c r="A1426" s="238"/>
      <c r="B1426" s="231"/>
      <c r="C1426" s="30" t="s">
        <v>1837</v>
      </c>
      <c r="D1426" s="23"/>
      <c r="E1426" s="25"/>
      <c r="F1426" s="137">
        <f>SUM(F1398:F1425)</f>
        <v>1073181188</v>
      </c>
      <c r="G1426" s="114">
        <f>SUM(G1398:G1425)</f>
        <v>1196924760</v>
      </c>
      <c r="H1426" s="114">
        <f t="shared" ref="H1426:I1426" si="264">SUM(H1398:H1425)</f>
        <v>0</v>
      </c>
      <c r="I1426" s="114">
        <f t="shared" si="264"/>
        <v>0</v>
      </c>
      <c r="J1426" s="114">
        <f>SUM(J1398:J1425)</f>
        <v>1196924760</v>
      </c>
      <c r="K1426" s="490">
        <f t="shared" si="263"/>
        <v>52425304.487999998</v>
      </c>
      <c r="L1426" s="468">
        <f>SUM(L1398:L1425)</f>
        <v>1144499455.5120001</v>
      </c>
      <c r="M1426" s="114">
        <f>SUM(M1398:M1425)</f>
        <v>1455135528</v>
      </c>
      <c r="N1426" s="114">
        <f>SUM(N1398:N1425)</f>
        <v>1463885528</v>
      </c>
    </row>
    <row r="1427" spans="1:14" s="66" customFormat="1" ht="30">
      <c r="A1427" s="238" t="s">
        <v>979</v>
      </c>
      <c r="B1427" s="231" t="s">
        <v>1800</v>
      </c>
      <c r="C1427" s="30"/>
      <c r="D1427" s="23"/>
      <c r="E1427" s="25"/>
      <c r="F1427" s="137">
        <f>F1426+F1397</f>
        <v>9968234183.7599983</v>
      </c>
      <c r="G1427" s="114">
        <f>G1426+G1397</f>
        <v>10091977755.759998</v>
      </c>
      <c r="H1427" s="114">
        <f t="shared" ref="H1427:I1427" si="265">H1426+H1397</f>
        <v>0</v>
      </c>
      <c r="I1427" s="114">
        <f t="shared" si="265"/>
        <v>627295372</v>
      </c>
      <c r="J1427" s="114">
        <f>J1426+J1397</f>
        <v>9464682383.7600002</v>
      </c>
      <c r="K1427" s="490"/>
      <c r="L1427" s="468">
        <f>L1426+L1397</f>
        <v>9412257079.2719994</v>
      </c>
      <c r="M1427" s="114">
        <f>M1426+M1397</f>
        <v>11239693823.335999</v>
      </c>
      <c r="N1427" s="114">
        <f>N1426+N1397</f>
        <v>12226899652.869602</v>
      </c>
    </row>
    <row r="1428" spans="1:14" s="20" customFormat="1" ht="21">
      <c r="A1428" s="252"/>
      <c r="B1428" s="443"/>
      <c r="C1428" s="228"/>
      <c r="D1428" s="229"/>
      <c r="E1428" s="230"/>
      <c r="F1428" s="215"/>
      <c r="G1428" s="296"/>
      <c r="H1428" s="296"/>
      <c r="I1428" s="296"/>
      <c r="J1428" s="28"/>
      <c r="K1428" s="488"/>
      <c r="L1428" s="468"/>
      <c r="M1428" s="296"/>
      <c r="N1428" s="296"/>
    </row>
    <row r="1429" spans="1:14" s="20" customFormat="1" ht="15.75" customHeight="1">
      <c r="A1429" s="238" t="s">
        <v>990</v>
      </c>
      <c r="B1429" s="231" t="s">
        <v>991</v>
      </c>
      <c r="C1429" s="32" t="s">
        <v>46</v>
      </c>
      <c r="D1429" s="77">
        <v>21010101</v>
      </c>
      <c r="E1429" s="135" t="s">
        <v>725</v>
      </c>
      <c r="F1429" s="136">
        <v>37167193.920000002</v>
      </c>
      <c r="G1429" s="28">
        <v>56998073.229999997</v>
      </c>
      <c r="H1429" s="28"/>
      <c r="I1429" s="28"/>
      <c r="J1429" s="28">
        <v>56998073.229999997</v>
      </c>
      <c r="K1429" s="488"/>
      <c r="L1429" s="467">
        <v>56998073.229999997</v>
      </c>
      <c r="M1429" s="28">
        <v>36295738.329999998</v>
      </c>
      <c r="N1429" s="28">
        <f>M1429*10%+M1429</f>
        <v>39925312.162999995</v>
      </c>
    </row>
    <row r="1430" spans="1:14" s="20" customFormat="1">
      <c r="A1430" s="253"/>
      <c r="B1430" s="231"/>
      <c r="C1430" s="32" t="s">
        <v>46</v>
      </c>
      <c r="D1430" s="77">
        <v>21020101</v>
      </c>
      <c r="E1430" s="135" t="s">
        <v>726</v>
      </c>
      <c r="F1430" s="136">
        <v>9396656.7300000004</v>
      </c>
      <c r="G1430" s="28">
        <v>37815309.469999999</v>
      </c>
      <c r="H1430" s="28"/>
      <c r="I1430" s="28"/>
      <c r="J1430" s="28">
        <v>37815309.469999999</v>
      </c>
      <c r="K1430" s="488"/>
      <c r="L1430" s="467">
        <v>37815309.469999999</v>
      </c>
      <c r="M1430" s="28">
        <v>8952825.5399999991</v>
      </c>
      <c r="N1430" s="28">
        <f t="shared" ref="N1430:N1438" si="266">M1430*10%+M1430</f>
        <v>9848108.0939999986</v>
      </c>
    </row>
    <row r="1431" spans="1:14" s="20" customFormat="1">
      <c r="A1431" s="253"/>
      <c r="B1431" s="231"/>
      <c r="C1431" s="32" t="s">
        <v>46</v>
      </c>
      <c r="D1431" s="77">
        <v>21020102</v>
      </c>
      <c r="E1431" s="135" t="s">
        <v>727</v>
      </c>
      <c r="F1431" s="136">
        <v>3758665.72</v>
      </c>
      <c r="G1431" s="28">
        <v>15160797.99</v>
      </c>
      <c r="H1431" s="28"/>
      <c r="I1431" s="28"/>
      <c r="J1431" s="28">
        <v>15160797.99</v>
      </c>
      <c r="K1431" s="488"/>
      <c r="L1431" s="467">
        <v>15160797.99</v>
      </c>
      <c r="M1431" s="28">
        <v>3581133.1</v>
      </c>
      <c r="N1431" s="28">
        <f t="shared" si="266"/>
        <v>3939246.41</v>
      </c>
    </row>
    <row r="1432" spans="1:14" s="20" customFormat="1">
      <c r="A1432" s="253"/>
      <c r="B1432" s="231"/>
      <c r="C1432" s="32" t="s">
        <v>46</v>
      </c>
      <c r="D1432" s="77">
        <v>21020103</v>
      </c>
      <c r="E1432" s="135" t="s">
        <v>728</v>
      </c>
      <c r="F1432" s="136">
        <v>1879332.86</v>
      </c>
      <c r="G1432" s="28">
        <v>6078038.4400000004</v>
      </c>
      <c r="H1432" s="28"/>
      <c r="I1432" s="28"/>
      <c r="J1432" s="28">
        <v>6078038.4400000004</v>
      </c>
      <c r="K1432" s="488"/>
      <c r="L1432" s="467">
        <v>6078038.4400000004</v>
      </c>
      <c r="M1432" s="28">
        <v>1790566.55</v>
      </c>
      <c r="N1432" s="28">
        <f t="shared" si="266"/>
        <v>1969623.2050000001</v>
      </c>
    </row>
    <row r="1433" spans="1:14" s="20" customFormat="1">
      <c r="A1433" s="253"/>
      <c r="B1433" s="231"/>
      <c r="C1433" s="32" t="s">
        <v>46</v>
      </c>
      <c r="D1433" s="77">
        <v>21020104</v>
      </c>
      <c r="E1433" s="135" t="s">
        <v>729</v>
      </c>
      <c r="F1433" s="136">
        <v>1879332.86</v>
      </c>
      <c r="G1433" s="28">
        <v>6078038.4400000004</v>
      </c>
      <c r="H1433" s="28"/>
      <c r="I1433" s="28"/>
      <c r="J1433" s="28">
        <v>6078038.4400000004</v>
      </c>
      <c r="K1433" s="488"/>
      <c r="L1433" s="467">
        <v>6078038.4400000004</v>
      </c>
      <c r="M1433" s="28">
        <v>1790566.55</v>
      </c>
      <c r="N1433" s="28">
        <f t="shared" si="266"/>
        <v>1969623.2050000001</v>
      </c>
    </row>
    <row r="1434" spans="1:14" s="20" customFormat="1">
      <c r="A1434" s="253"/>
      <c r="B1434" s="231"/>
      <c r="C1434" s="32" t="s">
        <v>46</v>
      </c>
      <c r="D1434" s="77">
        <v>21020105</v>
      </c>
      <c r="E1434" s="135" t="s">
        <v>730</v>
      </c>
      <c r="F1434" s="136">
        <v>316784.76679999998</v>
      </c>
      <c r="G1434" s="28">
        <v>1278539.02</v>
      </c>
      <c r="H1434" s="28"/>
      <c r="I1434" s="28"/>
      <c r="J1434" s="28">
        <v>1278539.02</v>
      </c>
      <c r="K1434" s="488"/>
      <c r="L1434" s="467">
        <v>1278539.02</v>
      </c>
      <c r="M1434" s="28">
        <v>203588.51</v>
      </c>
      <c r="N1434" s="28">
        <f t="shared" si="266"/>
        <v>223947.361</v>
      </c>
    </row>
    <row r="1435" spans="1:14" s="20" customFormat="1">
      <c r="A1435" s="253"/>
      <c r="B1435" s="231"/>
      <c r="C1435" s="32" t="s">
        <v>46</v>
      </c>
      <c r="D1435" s="77">
        <v>21020106</v>
      </c>
      <c r="E1435" s="135" t="s">
        <v>731</v>
      </c>
      <c r="F1435" s="136">
        <v>3852128.7519999999</v>
      </c>
      <c r="G1435" s="28">
        <v>5699807.3300000001</v>
      </c>
      <c r="H1435" s="28"/>
      <c r="I1435" s="28"/>
      <c r="J1435" s="28">
        <v>5699807.3300000001</v>
      </c>
      <c r="K1435" s="488"/>
      <c r="L1435" s="467">
        <v>5699807.3300000001</v>
      </c>
      <c r="M1435" s="28">
        <v>3629573.85</v>
      </c>
      <c r="N1435" s="28">
        <f t="shared" si="266"/>
        <v>3992531.2350000003</v>
      </c>
    </row>
    <row r="1436" spans="1:14" s="20" customFormat="1">
      <c r="A1436" s="253"/>
      <c r="B1436" s="231"/>
      <c r="C1436" s="32" t="s">
        <v>46</v>
      </c>
      <c r="D1436" s="77">
        <v>21020107</v>
      </c>
      <c r="E1436" s="135" t="s">
        <v>732</v>
      </c>
      <c r="F1436" s="136">
        <v>2808000</v>
      </c>
      <c r="G1436" s="28">
        <v>4397231.62</v>
      </c>
      <c r="H1436" s="28"/>
      <c r="I1436" s="28"/>
      <c r="J1436" s="28">
        <v>4397231.62</v>
      </c>
      <c r="K1436" s="488"/>
      <c r="L1436" s="467">
        <v>4397231.62</v>
      </c>
      <c r="M1436" s="28">
        <v>1512000</v>
      </c>
      <c r="N1436" s="28">
        <f t="shared" si="266"/>
        <v>1663200</v>
      </c>
    </row>
    <row r="1437" spans="1:14" s="20" customFormat="1">
      <c r="A1437" s="253"/>
      <c r="B1437" s="231"/>
      <c r="C1437" s="32" t="s">
        <v>46</v>
      </c>
      <c r="D1437" s="77">
        <v>21020143</v>
      </c>
      <c r="E1437" s="135" t="s">
        <v>981</v>
      </c>
      <c r="F1437" s="136">
        <v>924887.9</v>
      </c>
      <c r="G1437" s="28">
        <f>6974473.33+1702214.04</f>
        <v>8676687.370000001</v>
      </c>
      <c r="H1437" s="28"/>
      <c r="I1437" s="28"/>
      <c r="J1437" s="28">
        <v>8676687.370000001</v>
      </c>
      <c r="K1437" s="488"/>
      <c r="L1437" s="467">
        <v>8676687.370000001</v>
      </c>
      <c r="M1437" s="28">
        <v>859976.46</v>
      </c>
      <c r="N1437" s="28">
        <f t="shared" si="266"/>
        <v>945974.10599999991</v>
      </c>
    </row>
    <row r="1438" spans="1:14" s="20" customFormat="1">
      <c r="A1438" s="253"/>
      <c r="B1438" s="231"/>
      <c r="C1438" s="32" t="s">
        <v>46</v>
      </c>
      <c r="D1438" s="77">
        <v>21020150</v>
      </c>
      <c r="E1438" s="135" t="s">
        <v>982</v>
      </c>
      <c r="F1438" s="136">
        <v>141332.10999999999</v>
      </c>
      <c r="G1438" s="28">
        <v>141332.10999999999</v>
      </c>
      <c r="H1438" s="28"/>
      <c r="I1438" s="28"/>
      <c r="J1438" s="28">
        <v>141332.10999999999</v>
      </c>
      <c r="K1438" s="488"/>
      <c r="L1438" s="467">
        <v>141332.10999999999</v>
      </c>
      <c r="M1438" s="28">
        <v>141332.10999999999</v>
      </c>
      <c r="N1438" s="28">
        <f t="shared" si="266"/>
        <v>155465.321</v>
      </c>
    </row>
    <row r="1439" spans="1:14" s="20" customFormat="1">
      <c r="A1439" s="238"/>
      <c r="B1439" s="231"/>
      <c r="C1439" s="30" t="s">
        <v>1836</v>
      </c>
      <c r="D1439" s="23"/>
      <c r="E1439" s="25"/>
      <c r="F1439" s="137">
        <f>SUM(F1429:F1438)</f>
        <v>62124315.618799999</v>
      </c>
      <c r="G1439" s="114">
        <f>SUM(G1429:G1438)</f>
        <v>142323855.01999998</v>
      </c>
      <c r="H1439" s="114">
        <f t="shared" ref="H1439:I1439" si="267">SUM(H1429:H1438)</f>
        <v>0</v>
      </c>
      <c r="I1439" s="114">
        <f t="shared" si="267"/>
        <v>0</v>
      </c>
      <c r="J1439" s="114">
        <f>SUM(J1429:J1438)</f>
        <v>142323855.01999998</v>
      </c>
      <c r="K1439" s="490"/>
      <c r="L1439" s="468">
        <f>SUM(L1429:L1438)</f>
        <v>142323855.01999998</v>
      </c>
      <c r="M1439" s="114">
        <f>SUM(M1429:M1438)</f>
        <v>58757300.999999993</v>
      </c>
      <c r="N1439" s="114">
        <f>SUM(N1429:N1438)</f>
        <v>64633031.099999994</v>
      </c>
    </row>
    <row r="1440" spans="1:14" s="20" customFormat="1">
      <c r="A1440" s="253"/>
      <c r="B1440" s="231"/>
      <c r="C1440" s="32" t="s">
        <v>47</v>
      </c>
      <c r="D1440" s="77">
        <v>22020105</v>
      </c>
      <c r="E1440" s="135" t="s">
        <v>1733</v>
      </c>
      <c r="F1440" s="136">
        <f>16976900+6357150</f>
        <v>23334050</v>
      </c>
      <c r="G1440" s="28">
        <f>16976900+6357150</f>
        <v>23334050</v>
      </c>
      <c r="H1440" s="28"/>
      <c r="I1440" s="28"/>
      <c r="J1440" s="28">
        <v>23334050</v>
      </c>
      <c r="K1440" s="488">
        <f>J1440*4.38%</f>
        <v>1022031.39</v>
      </c>
      <c r="L1440" s="469">
        <v>22312018.609999999</v>
      </c>
      <c r="M1440" s="28">
        <v>16976900</v>
      </c>
      <c r="N1440" s="28">
        <v>16976900</v>
      </c>
    </row>
    <row r="1441" spans="1:14" s="20" customFormat="1">
      <c r="A1441" s="253"/>
      <c r="B1441" s="231"/>
      <c r="C1441" s="32" t="s">
        <v>47</v>
      </c>
      <c r="D1441" s="77">
        <v>22020301</v>
      </c>
      <c r="E1441" s="135" t="s">
        <v>737</v>
      </c>
      <c r="F1441" s="136">
        <v>4569335.92</v>
      </c>
      <c r="G1441" s="28">
        <f>4569335.92+4291000</f>
        <v>8860335.9199999999</v>
      </c>
      <c r="H1441" s="28"/>
      <c r="I1441" s="28"/>
      <c r="J1441" s="28">
        <v>8860335.9199999999</v>
      </c>
      <c r="K1441" s="488">
        <f t="shared" ref="K1441:K1457" si="268">J1441*4.38%</f>
        <v>388082.71329599997</v>
      </c>
      <c r="L1441" s="469">
        <v>8472253.206704</v>
      </c>
      <c r="M1441" s="28">
        <v>4569335.92</v>
      </c>
      <c r="N1441" s="28">
        <v>4569335.92</v>
      </c>
    </row>
    <row r="1442" spans="1:14" s="20" customFormat="1">
      <c r="A1442" s="253"/>
      <c r="B1442" s="231"/>
      <c r="C1442" s="32" t="s">
        <v>47</v>
      </c>
      <c r="D1442" s="77">
        <v>22020305</v>
      </c>
      <c r="E1442" s="135" t="s">
        <v>755</v>
      </c>
      <c r="F1442" s="136">
        <v>4992000</v>
      </c>
      <c r="G1442" s="28">
        <v>4992000</v>
      </c>
      <c r="H1442" s="28"/>
      <c r="I1442" s="28"/>
      <c r="J1442" s="28">
        <v>4992000</v>
      </c>
      <c r="K1442" s="488">
        <f t="shared" si="268"/>
        <v>218649.60000000001</v>
      </c>
      <c r="L1442" s="469">
        <v>4773350.4000000004</v>
      </c>
      <c r="M1442" s="28">
        <v>4992000</v>
      </c>
      <c r="N1442" s="28">
        <v>4992000</v>
      </c>
    </row>
    <row r="1443" spans="1:14" s="20" customFormat="1">
      <c r="A1443" s="253"/>
      <c r="B1443" s="231"/>
      <c r="C1443" s="32" t="s">
        <v>47</v>
      </c>
      <c r="D1443" s="77">
        <v>22020315</v>
      </c>
      <c r="E1443" s="135" t="s">
        <v>740</v>
      </c>
      <c r="F1443" s="136">
        <v>6912000</v>
      </c>
      <c r="G1443" s="28">
        <v>6912000</v>
      </c>
      <c r="H1443" s="28"/>
      <c r="I1443" s="28"/>
      <c r="J1443" s="28">
        <v>6912000</v>
      </c>
      <c r="K1443" s="488">
        <f t="shared" si="268"/>
        <v>302745.59999999998</v>
      </c>
      <c r="L1443" s="469">
        <v>6609254.4000000004</v>
      </c>
      <c r="M1443" s="28">
        <v>6912000</v>
      </c>
      <c r="N1443" s="28">
        <v>6912000</v>
      </c>
    </row>
    <row r="1444" spans="1:14" s="20" customFormat="1">
      <c r="A1444" s="253"/>
      <c r="B1444" s="231"/>
      <c r="C1444" s="32" t="s">
        <v>47</v>
      </c>
      <c r="D1444" s="77">
        <v>22020401</v>
      </c>
      <c r="E1444" s="135" t="s">
        <v>741</v>
      </c>
      <c r="F1444" s="136">
        <v>2446500</v>
      </c>
      <c r="G1444" s="28">
        <v>2446500</v>
      </c>
      <c r="H1444" s="28"/>
      <c r="I1444" s="28"/>
      <c r="J1444" s="28">
        <v>2446500</v>
      </c>
      <c r="K1444" s="488">
        <f t="shared" si="268"/>
        <v>107156.7</v>
      </c>
      <c r="L1444" s="469">
        <v>2339343.3000000003</v>
      </c>
      <c r="M1444" s="28">
        <v>2446500</v>
      </c>
      <c r="N1444" s="28">
        <v>2446500</v>
      </c>
    </row>
    <row r="1445" spans="1:14" s="20" customFormat="1">
      <c r="A1445" s="253"/>
      <c r="B1445" s="231"/>
      <c r="C1445" s="32" t="s">
        <v>47</v>
      </c>
      <c r="D1445" s="77">
        <v>22020402</v>
      </c>
      <c r="E1445" s="135" t="s">
        <v>757</v>
      </c>
      <c r="F1445" s="136">
        <v>80000</v>
      </c>
      <c r="G1445" s="28">
        <v>80000</v>
      </c>
      <c r="H1445" s="28"/>
      <c r="I1445" s="28"/>
      <c r="J1445" s="28">
        <v>80000</v>
      </c>
      <c r="K1445" s="488">
        <f t="shared" si="268"/>
        <v>3504</v>
      </c>
      <c r="L1445" s="469">
        <v>76496</v>
      </c>
      <c r="M1445" s="28">
        <v>80000</v>
      </c>
      <c r="N1445" s="28">
        <v>80000</v>
      </c>
    </row>
    <row r="1446" spans="1:14" s="20" customFormat="1">
      <c r="A1446" s="253"/>
      <c r="B1446" s="231"/>
      <c r="C1446" s="32" t="s">
        <v>47</v>
      </c>
      <c r="D1446" s="77">
        <v>22020404</v>
      </c>
      <c r="E1446" s="135" t="s">
        <v>742</v>
      </c>
      <c r="F1446" s="136">
        <v>550000</v>
      </c>
      <c r="G1446" s="28">
        <v>550000</v>
      </c>
      <c r="H1446" s="28"/>
      <c r="I1446" s="28"/>
      <c r="J1446" s="28">
        <v>550000</v>
      </c>
      <c r="K1446" s="488">
        <f t="shared" si="268"/>
        <v>24090</v>
      </c>
      <c r="L1446" s="469">
        <v>525910</v>
      </c>
      <c r="M1446" s="28">
        <v>550000</v>
      </c>
      <c r="N1446" s="28">
        <v>550000</v>
      </c>
    </row>
    <row r="1447" spans="1:14" s="20" customFormat="1">
      <c r="A1447" s="253"/>
      <c r="B1447" s="231"/>
      <c r="C1447" s="32" t="s">
        <v>47</v>
      </c>
      <c r="D1447" s="77">
        <v>22020405</v>
      </c>
      <c r="E1447" s="135" t="s">
        <v>743</v>
      </c>
      <c r="F1447" s="136">
        <v>480000</v>
      </c>
      <c r="G1447" s="28">
        <v>480000</v>
      </c>
      <c r="H1447" s="28"/>
      <c r="I1447" s="28"/>
      <c r="J1447" s="28">
        <v>480000</v>
      </c>
      <c r="K1447" s="488">
        <f t="shared" si="268"/>
        <v>21024</v>
      </c>
      <c r="L1447" s="469">
        <v>458976</v>
      </c>
      <c r="M1447" s="28">
        <v>480000</v>
      </c>
      <c r="N1447" s="28">
        <v>480000</v>
      </c>
    </row>
    <row r="1448" spans="1:14" s="20" customFormat="1">
      <c r="A1448" s="253"/>
      <c r="B1448" s="231"/>
      <c r="C1448" s="32" t="s">
        <v>47</v>
      </c>
      <c r="D1448" s="77">
        <v>22020605</v>
      </c>
      <c r="E1448" s="135" t="s">
        <v>768</v>
      </c>
      <c r="F1448" s="136">
        <v>800000</v>
      </c>
      <c r="G1448" s="28">
        <v>0</v>
      </c>
      <c r="H1448" s="28"/>
      <c r="I1448" s="28"/>
      <c r="J1448" s="28">
        <v>0</v>
      </c>
      <c r="K1448" s="488">
        <f t="shared" si="268"/>
        <v>0</v>
      </c>
      <c r="L1448" s="469">
        <v>0</v>
      </c>
      <c r="M1448" s="28">
        <v>800000</v>
      </c>
      <c r="N1448" s="28">
        <v>800000</v>
      </c>
    </row>
    <row r="1449" spans="1:14" s="20" customFormat="1">
      <c r="A1449" s="253"/>
      <c r="B1449" s="231"/>
      <c r="C1449" s="32" t="s">
        <v>47</v>
      </c>
      <c r="D1449" s="77">
        <v>22020702</v>
      </c>
      <c r="E1449" s="135" t="s">
        <v>964</v>
      </c>
      <c r="F1449" s="136">
        <v>600000</v>
      </c>
      <c r="G1449" s="28">
        <v>600000</v>
      </c>
      <c r="H1449" s="28"/>
      <c r="I1449" s="28"/>
      <c r="J1449" s="28">
        <v>600000</v>
      </c>
      <c r="K1449" s="488">
        <f t="shared" si="268"/>
        <v>26280</v>
      </c>
      <c r="L1449" s="469">
        <v>573720</v>
      </c>
      <c r="M1449" s="28">
        <v>600000</v>
      </c>
      <c r="N1449" s="28">
        <v>600000</v>
      </c>
    </row>
    <row r="1450" spans="1:14" s="20" customFormat="1">
      <c r="A1450" s="253"/>
      <c r="B1450" s="231"/>
      <c r="C1450" s="32" t="s">
        <v>47</v>
      </c>
      <c r="D1450" s="77">
        <v>22020709</v>
      </c>
      <c r="E1450" s="135" t="s">
        <v>771</v>
      </c>
      <c r="F1450" s="136">
        <v>1300000</v>
      </c>
      <c r="G1450" s="28">
        <v>1300000</v>
      </c>
      <c r="H1450" s="28"/>
      <c r="I1450" s="28"/>
      <c r="J1450" s="28">
        <v>1300000</v>
      </c>
      <c r="K1450" s="488">
        <f t="shared" si="268"/>
        <v>56940</v>
      </c>
      <c r="L1450" s="469">
        <v>1243060</v>
      </c>
      <c r="M1450" s="28">
        <v>1300000</v>
      </c>
      <c r="N1450" s="28">
        <v>1300000</v>
      </c>
    </row>
    <row r="1451" spans="1:14" s="20" customFormat="1">
      <c r="A1451" s="253"/>
      <c r="B1451" s="231"/>
      <c r="C1451" s="32" t="s">
        <v>47</v>
      </c>
      <c r="D1451" s="77">
        <v>22020801</v>
      </c>
      <c r="E1451" s="135" t="s">
        <v>747</v>
      </c>
      <c r="F1451" s="136">
        <v>7403925</v>
      </c>
      <c r="G1451" s="28">
        <f>7403925+800000</f>
        <v>8203925</v>
      </c>
      <c r="H1451" s="28"/>
      <c r="I1451" s="28"/>
      <c r="J1451" s="28">
        <v>8203925</v>
      </c>
      <c r="K1451" s="488">
        <f t="shared" si="268"/>
        <v>359331.91499999998</v>
      </c>
      <c r="L1451" s="469">
        <v>7844593.085</v>
      </c>
      <c r="M1451" s="28">
        <v>7403925</v>
      </c>
      <c r="N1451" s="28">
        <v>7403925</v>
      </c>
    </row>
    <row r="1452" spans="1:14" s="20" customFormat="1">
      <c r="A1452" s="253"/>
      <c r="B1452" s="231"/>
      <c r="C1452" s="32" t="s">
        <v>47</v>
      </c>
      <c r="D1452" s="77">
        <v>22020803</v>
      </c>
      <c r="E1452" s="135" t="s">
        <v>748</v>
      </c>
      <c r="F1452" s="136">
        <v>2589550</v>
      </c>
      <c r="G1452" s="28">
        <v>2589550</v>
      </c>
      <c r="H1452" s="28"/>
      <c r="I1452" s="28"/>
      <c r="J1452" s="28">
        <v>2589550</v>
      </c>
      <c r="K1452" s="488">
        <f t="shared" si="268"/>
        <v>113422.29</v>
      </c>
      <c r="L1452" s="469">
        <v>2476127.71</v>
      </c>
      <c r="M1452" s="28">
        <v>2589550</v>
      </c>
      <c r="N1452" s="28">
        <v>2589550</v>
      </c>
    </row>
    <row r="1453" spans="1:14" s="20" customFormat="1">
      <c r="A1453" s="253"/>
      <c r="B1453" s="231"/>
      <c r="C1453" s="32" t="s">
        <v>47</v>
      </c>
      <c r="D1453" s="77">
        <v>22021001</v>
      </c>
      <c r="E1453" s="135" t="s">
        <v>772</v>
      </c>
      <c r="F1453" s="136">
        <v>10906750</v>
      </c>
      <c r="G1453" s="28">
        <v>10906750</v>
      </c>
      <c r="H1453" s="28"/>
      <c r="I1453" s="28"/>
      <c r="J1453" s="28">
        <v>10906750</v>
      </c>
      <c r="K1453" s="488">
        <f t="shared" si="268"/>
        <v>477715.64999999997</v>
      </c>
      <c r="L1453" s="469">
        <v>10429034.35</v>
      </c>
      <c r="M1453" s="28">
        <v>10906750</v>
      </c>
      <c r="N1453" s="28">
        <v>10906750</v>
      </c>
    </row>
    <row r="1454" spans="1:14" s="20" customFormat="1">
      <c r="A1454" s="253"/>
      <c r="B1454" s="231"/>
      <c r="C1454" s="32" t="s">
        <v>47</v>
      </c>
      <c r="D1454" s="77">
        <v>22021003</v>
      </c>
      <c r="E1454" s="135" t="s">
        <v>760</v>
      </c>
      <c r="F1454" s="136">
        <v>2780000</v>
      </c>
      <c r="G1454" s="28">
        <v>2780000</v>
      </c>
      <c r="H1454" s="28"/>
      <c r="I1454" s="28"/>
      <c r="J1454" s="28">
        <v>2780000</v>
      </c>
      <c r="K1454" s="488">
        <f t="shared" si="268"/>
        <v>121764</v>
      </c>
      <c r="L1454" s="469">
        <v>2658236</v>
      </c>
      <c r="M1454" s="28">
        <v>2780000</v>
      </c>
      <c r="N1454" s="28">
        <v>2780000</v>
      </c>
    </row>
    <row r="1455" spans="1:14" s="20" customFormat="1">
      <c r="A1455" s="253"/>
      <c r="B1455" s="231"/>
      <c r="C1455" s="32" t="s">
        <v>47</v>
      </c>
      <c r="D1455" s="77">
        <v>22021009</v>
      </c>
      <c r="E1455" s="135" t="s">
        <v>873</v>
      </c>
      <c r="F1455" s="136">
        <v>1982025</v>
      </c>
      <c r="G1455" s="28">
        <v>1982025</v>
      </c>
      <c r="H1455" s="28"/>
      <c r="I1455" s="28"/>
      <c r="J1455" s="28">
        <v>1982025</v>
      </c>
      <c r="K1455" s="488">
        <f t="shared" si="268"/>
        <v>86812.694999999992</v>
      </c>
      <c r="L1455" s="469">
        <v>1895212.3050000002</v>
      </c>
      <c r="M1455" s="28">
        <v>1982025</v>
      </c>
      <c r="N1455" s="28">
        <v>1982025</v>
      </c>
    </row>
    <row r="1456" spans="1:14" s="20" customFormat="1">
      <c r="A1456" s="253"/>
      <c r="B1456" s="231"/>
      <c r="C1456" s="32" t="s">
        <v>47</v>
      </c>
      <c r="D1456" s="77">
        <v>22040117</v>
      </c>
      <c r="E1456" s="135" t="s">
        <v>989</v>
      </c>
      <c r="F1456" s="136">
        <v>38736001.079999998</v>
      </c>
      <c r="G1456" s="28">
        <v>38736001.079999998</v>
      </c>
      <c r="H1456" s="28"/>
      <c r="I1456" s="28"/>
      <c r="J1456" s="28">
        <v>38736001.079999998</v>
      </c>
      <c r="K1456" s="488">
        <f t="shared" si="268"/>
        <v>1696636.8473039998</v>
      </c>
      <c r="L1456" s="469">
        <v>37039364.232695997</v>
      </c>
      <c r="M1456" s="28">
        <v>38736001.079999998</v>
      </c>
      <c r="N1456" s="28">
        <v>38736001.079999998</v>
      </c>
    </row>
    <row r="1457" spans="1:14" s="20" customFormat="1">
      <c r="A1457" s="238"/>
      <c r="B1457" s="231"/>
      <c r="C1457" s="30" t="s">
        <v>1837</v>
      </c>
      <c r="D1457" s="23"/>
      <c r="E1457" s="25"/>
      <c r="F1457" s="137">
        <f>SUM(F1440:F1456)</f>
        <v>110462137</v>
      </c>
      <c r="G1457" s="114">
        <f>SUM(G1440:G1456)</f>
        <v>114753137</v>
      </c>
      <c r="H1457" s="114">
        <f t="shared" ref="H1457:I1457" si="269">SUM(H1440:H1456)</f>
        <v>0</v>
      </c>
      <c r="I1457" s="114">
        <f t="shared" si="269"/>
        <v>0</v>
      </c>
      <c r="J1457" s="114">
        <f>SUM(J1440:J1456)</f>
        <v>114753137</v>
      </c>
      <c r="K1457" s="490">
        <f t="shared" si="268"/>
        <v>5026187.4006000003</v>
      </c>
      <c r="L1457" s="468">
        <f>SUM(L1440:L1456)</f>
        <v>109726949.5994</v>
      </c>
      <c r="M1457" s="114">
        <f>SUM(M1440:M1456)</f>
        <v>104104987</v>
      </c>
      <c r="N1457" s="114">
        <f>SUM(N1440:N1456)</f>
        <v>104104987</v>
      </c>
    </row>
    <row r="1458" spans="1:14" s="66" customFormat="1" ht="30">
      <c r="A1458" s="238" t="s">
        <v>990</v>
      </c>
      <c r="B1458" s="231" t="s">
        <v>1801</v>
      </c>
      <c r="C1458" s="30"/>
      <c r="D1458" s="23"/>
      <c r="E1458" s="25"/>
      <c r="F1458" s="137">
        <f>F1457+F1439</f>
        <v>172586452.61879998</v>
      </c>
      <c r="G1458" s="114">
        <f>G1457+G1439</f>
        <v>257076992.01999998</v>
      </c>
      <c r="H1458" s="114">
        <f t="shared" ref="H1458:I1458" si="270">H1457+H1439</f>
        <v>0</v>
      </c>
      <c r="I1458" s="114">
        <f t="shared" si="270"/>
        <v>0</v>
      </c>
      <c r="J1458" s="114">
        <f>J1457+J1439</f>
        <v>257076992.01999998</v>
      </c>
      <c r="K1458" s="490"/>
      <c r="L1458" s="468">
        <f>L1457+L1439</f>
        <v>252050804.61939996</v>
      </c>
      <c r="M1458" s="114">
        <f>M1457+M1439</f>
        <v>162862288</v>
      </c>
      <c r="N1458" s="114">
        <f>N1457+N1439</f>
        <v>168738018.09999999</v>
      </c>
    </row>
    <row r="1459" spans="1:14" s="20" customFormat="1" ht="21">
      <c r="A1459" s="252"/>
      <c r="B1459" s="443"/>
      <c r="C1459" s="228"/>
      <c r="D1459" s="229"/>
      <c r="E1459" s="230"/>
      <c r="F1459" s="215"/>
      <c r="G1459" s="296"/>
      <c r="H1459" s="296"/>
      <c r="I1459" s="296"/>
      <c r="J1459" s="28"/>
      <c r="K1459" s="488"/>
      <c r="L1459" s="468"/>
      <c r="M1459" s="296"/>
      <c r="N1459" s="296"/>
    </row>
    <row r="1460" spans="1:14" s="20" customFormat="1">
      <c r="A1460" s="238" t="s">
        <v>992</v>
      </c>
      <c r="B1460" s="231" t="s">
        <v>129</v>
      </c>
      <c r="C1460" s="32" t="s">
        <v>46</v>
      </c>
      <c r="D1460" s="241">
        <v>21010101</v>
      </c>
      <c r="E1460" s="409" t="s">
        <v>725</v>
      </c>
      <c r="F1460" s="223">
        <v>40872620</v>
      </c>
      <c r="G1460" s="394">
        <v>40872620</v>
      </c>
      <c r="H1460" s="394"/>
      <c r="I1460" s="394"/>
      <c r="J1460" s="28">
        <v>40872620</v>
      </c>
      <c r="K1460" s="488"/>
      <c r="L1460" s="467">
        <v>40872620</v>
      </c>
      <c r="M1460" s="28">
        <f>G1460*10%+G1460</f>
        <v>44959882</v>
      </c>
      <c r="N1460" s="28">
        <f>M1460*10%+M1460</f>
        <v>49455870.200000003</v>
      </c>
    </row>
    <row r="1461" spans="1:14" s="20" customFormat="1">
      <c r="A1461" s="238"/>
      <c r="B1461" s="231"/>
      <c r="C1461" s="30" t="s">
        <v>1842</v>
      </c>
      <c r="D1461" s="23"/>
      <c r="E1461" s="25"/>
      <c r="F1461" s="137">
        <f>SUM(F1460)</f>
        <v>40872620</v>
      </c>
      <c r="G1461" s="114">
        <f>SUM(G1460)</f>
        <v>40872620</v>
      </c>
      <c r="H1461" s="114">
        <f t="shared" ref="H1461:I1461" si="271">SUM(H1460)</f>
        <v>0</v>
      </c>
      <c r="I1461" s="114">
        <f t="shared" si="271"/>
        <v>0</v>
      </c>
      <c r="J1461" s="114">
        <f>SUM(J1460)</f>
        <v>40872620</v>
      </c>
      <c r="K1461" s="490"/>
      <c r="L1461" s="468">
        <f>SUM(L1460)</f>
        <v>40872620</v>
      </c>
      <c r="M1461" s="114">
        <f>SUM(M1460)</f>
        <v>44959882</v>
      </c>
      <c r="N1461" s="114">
        <f>SUM(N1460)</f>
        <v>49455870.200000003</v>
      </c>
    </row>
    <row r="1462" spans="1:14" s="20" customFormat="1">
      <c r="A1462" s="253"/>
      <c r="B1462" s="231"/>
      <c r="C1462" s="32" t="s">
        <v>47</v>
      </c>
      <c r="D1462" s="77">
        <v>22020105</v>
      </c>
      <c r="E1462" s="135" t="s">
        <v>1733</v>
      </c>
      <c r="F1462" s="136">
        <f>144000+50000+250000</f>
        <v>444000</v>
      </c>
      <c r="G1462" s="28">
        <f>144000+50000+250000</f>
        <v>444000</v>
      </c>
      <c r="H1462" s="28"/>
      <c r="I1462" s="28"/>
      <c r="J1462" s="28">
        <v>444000</v>
      </c>
      <c r="K1462" s="488">
        <f>J1462*4.38%</f>
        <v>19447.2</v>
      </c>
      <c r="L1462" s="469">
        <v>424552.80000000005</v>
      </c>
      <c r="M1462" s="28">
        <v>288000</v>
      </c>
      <c r="N1462" s="28">
        <v>288000</v>
      </c>
    </row>
    <row r="1463" spans="1:14" s="20" customFormat="1">
      <c r="A1463" s="253"/>
      <c r="B1463" s="231"/>
      <c r="C1463" s="32" t="s">
        <v>47</v>
      </c>
      <c r="D1463" s="77">
        <v>22020301</v>
      </c>
      <c r="E1463" s="135" t="s">
        <v>737</v>
      </c>
      <c r="F1463" s="136">
        <v>509905</v>
      </c>
      <c r="G1463" s="28">
        <v>509905</v>
      </c>
      <c r="H1463" s="28"/>
      <c r="I1463" s="28"/>
      <c r="J1463" s="28">
        <v>509905</v>
      </c>
      <c r="K1463" s="488">
        <f t="shared" ref="K1463:K1478" si="272">J1463*4.38%</f>
        <v>22333.839</v>
      </c>
      <c r="L1463" s="469">
        <v>487571.16100000002</v>
      </c>
      <c r="M1463" s="28">
        <v>365905</v>
      </c>
      <c r="N1463" s="28">
        <v>509905</v>
      </c>
    </row>
    <row r="1464" spans="1:14" s="20" customFormat="1">
      <c r="A1464" s="253"/>
      <c r="B1464" s="231"/>
      <c r="C1464" s="32" t="s">
        <v>47</v>
      </c>
      <c r="D1464" s="77">
        <v>22020303</v>
      </c>
      <c r="E1464" s="135" t="s">
        <v>738</v>
      </c>
      <c r="F1464" s="136">
        <v>991800</v>
      </c>
      <c r="G1464" s="28">
        <v>991800</v>
      </c>
      <c r="H1464" s="28"/>
      <c r="I1464" s="28"/>
      <c r="J1464" s="28">
        <v>991800</v>
      </c>
      <c r="K1464" s="488">
        <f t="shared" si="272"/>
        <v>43440.84</v>
      </c>
      <c r="L1464" s="469">
        <v>948359.16</v>
      </c>
      <c r="M1464" s="28">
        <v>991800</v>
      </c>
      <c r="N1464" s="28">
        <v>991800</v>
      </c>
    </row>
    <row r="1465" spans="1:14" s="20" customFormat="1">
      <c r="A1465" s="253"/>
      <c r="B1465" s="231"/>
      <c r="C1465" s="32" t="s">
        <v>47</v>
      </c>
      <c r="D1465" s="77">
        <v>22020304</v>
      </c>
      <c r="E1465" s="135" t="s">
        <v>851</v>
      </c>
      <c r="F1465" s="136">
        <v>30600</v>
      </c>
      <c r="G1465" s="28">
        <v>30600</v>
      </c>
      <c r="H1465" s="28"/>
      <c r="I1465" s="28"/>
      <c r="J1465" s="28">
        <v>30600</v>
      </c>
      <c r="K1465" s="488">
        <f t="shared" si="272"/>
        <v>1340.28</v>
      </c>
      <c r="L1465" s="469">
        <v>29259.72</v>
      </c>
      <c r="M1465" s="28">
        <v>30600</v>
      </c>
      <c r="N1465" s="28">
        <v>30600</v>
      </c>
    </row>
    <row r="1466" spans="1:14" s="20" customFormat="1">
      <c r="A1466" s="253"/>
      <c r="B1466" s="231"/>
      <c r="C1466" s="32" t="s">
        <v>47</v>
      </c>
      <c r="D1466" s="77">
        <v>22020401</v>
      </c>
      <c r="E1466" s="135" t="s">
        <v>741</v>
      </c>
      <c r="F1466" s="136">
        <v>120000</v>
      </c>
      <c r="G1466" s="28">
        <v>120000</v>
      </c>
      <c r="H1466" s="28"/>
      <c r="I1466" s="28"/>
      <c r="J1466" s="28">
        <v>120000</v>
      </c>
      <c r="K1466" s="488">
        <f t="shared" si="272"/>
        <v>5256</v>
      </c>
      <c r="L1466" s="469">
        <v>114744</v>
      </c>
      <c r="M1466" s="28">
        <v>60000</v>
      </c>
      <c r="N1466" s="28">
        <v>60000</v>
      </c>
    </row>
    <row r="1467" spans="1:14" s="20" customFormat="1">
      <c r="A1467" s="253"/>
      <c r="B1467" s="231"/>
      <c r="C1467" s="32" t="s">
        <v>47</v>
      </c>
      <c r="D1467" s="77">
        <v>22020402</v>
      </c>
      <c r="E1467" s="135" t="s">
        <v>757</v>
      </c>
      <c r="F1467" s="136">
        <v>168600</v>
      </c>
      <c r="G1467" s="28">
        <v>168600</v>
      </c>
      <c r="H1467" s="28"/>
      <c r="I1467" s="28"/>
      <c r="J1467" s="28">
        <v>168600</v>
      </c>
      <c r="K1467" s="488">
        <f t="shared" si="272"/>
        <v>7384.6799999999994</v>
      </c>
      <c r="L1467" s="469">
        <v>161215.32</v>
      </c>
      <c r="M1467" s="28">
        <v>292200</v>
      </c>
      <c r="N1467" s="28">
        <v>505800</v>
      </c>
    </row>
    <row r="1468" spans="1:14" s="20" customFormat="1">
      <c r="A1468" s="253"/>
      <c r="B1468" s="231"/>
      <c r="C1468" s="32" t="s">
        <v>47</v>
      </c>
      <c r="D1468" s="77">
        <v>22020403</v>
      </c>
      <c r="E1468" s="135" t="s">
        <v>781</v>
      </c>
      <c r="F1468" s="136">
        <v>212000</v>
      </c>
      <c r="G1468" s="28">
        <v>212000</v>
      </c>
      <c r="H1468" s="28"/>
      <c r="I1468" s="28"/>
      <c r="J1468" s="28">
        <v>212000</v>
      </c>
      <c r="K1468" s="488">
        <f t="shared" si="272"/>
        <v>9285.6</v>
      </c>
      <c r="L1468" s="469">
        <v>202714.40000000002</v>
      </c>
      <c r="M1468" s="28">
        <v>36000</v>
      </c>
      <c r="N1468" s="28">
        <v>36000</v>
      </c>
    </row>
    <row r="1469" spans="1:14" s="20" customFormat="1">
      <c r="A1469" s="253"/>
      <c r="B1469" s="231"/>
      <c r="C1469" s="32" t="s">
        <v>47</v>
      </c>
      <c r="D1469" s="77">
        <v>22020404</v>
      </c>
      <c r="E1469" s="135" t="s">
        <v>742</v>
      </c>
      <c r="F1469" s="136">
        <v>90000</v>
      </c>
      <c r="G1469" s="28">
        <v>90000</v>
      </c>
      <c r="H1469" s="28"/>
      <c r="I1469" s="28"/>
      <c r="J1469" s="28">
        <v>90000</v>
      </c>
      <c r="K1469" s="488">
        <f t="shared" si="272"/>
        <v>3942</v>
      </c>
      <c r="L1469" s="469">
        <v>86058</v>
      </c>
      <c r="M1469" s="28">
        <v>45000</v>
      </c>
      <c r="N1469" s="28">
        <v>45000</v>
      </c>
    </row>
    <row r="1470" spans="1:14" s="20" customFormat="1">
      <c r="A1470" s="253"/>
      <c r="B1470" s="231"/>
      <c r="C1470" s="32" t="s">
        <v>47</v>
      </c>
      <c r="D1470" s="77">
        <v>22020405</v>
      </c>
      <c r="E1470" s="135" t="s">
        <v>743</v>
      </c>
      <c r="F1470" s="136">
        <v>120000</v>
      </c>
      <c r="G1470" s="28">
        <v>120000</v>
      </c>
      <c r="H1470" s="28"/>
      <c r="I1470" s="28"/>
      <c r="J1470" s="28">
        <v>120000</v>
      </c>
      <c r="K1470" s="488">
        <f t="shared" si="272"/>
        <v>5256</v>
      </c>
      <c r="L1470" s="469">
        <v>114744</v>
      </c>
      <c r="M1470" s="28">
        <v>120000</v>
      </c>
      <c r="N1470" s="28">
        <v>120000</v>
      </c>
    </row>
    <row r="1471" spans="1:14" s="20" customFormat="1">
      <c r="A1471" s="253"/>
      <c r="B1471" s="231"/>
      <c r="C1471" s="32" t="s">
        <v>47</v>
      </c>
      <c r="D1471" s="77">
        <v>22020416</v>
      </c>
      <c r="E1471" s="135" t="s">
        <v>782</v>
      </c>
      <c r="F1471" s="136">
        <v>540000</v>
      </c>
      <c r="G1471" s="28">
        <v>540000</v>
      </c>
      <c r="H1471" s="28"/>
      <c r="I1471" s="28"/>
      <c r="J1471" s="28">
        <v>540000</v>
      </c>
      <c r="K1471" s="488">
        <f t="shared" si="272"/>
        <v>23652</v>
      </c>
      <c r="L1471" s="469">
        <v>516348</v>
      </c>
      <c r="M1471" s="28">
        <v>0</v>
      </c>
      <c r="N1471" s="28">
        <v>540000</v>
      </c>
    </row>
    <row r="1472" spans="1:14" s="20" customFormat="1">
      <c r="A1472" s="253"/>
      <c r="B1472" s="231"/>
      <c r="C1472" s="32" t="s">
        <v>47</v>
      </c>
      <c r="D1472" s="77">
        <v>22020605</v>
      </c>
      <c r="E1472" s="135" t="s">
        <v>768</v>
      </c>
      <c r="F1472" s="136">
        <v>132150</v>
      </c>
      <c r="G1472" s="28">
        <v>132150</v>
      </c>
      <c r="H1472" s="28"/>
      <c r="I1472" s="28"/>
      <c r="J1472" s="28">
        <v>132150</v>
      </c>
      <c r="K1472" s="488">
        <f t="shared" si="272"/>
        <v>5788.17</v>
      </c>
      <c r="L1472" s="469">
        <v>126361.83</v>
      </c>
      <c r="M1472" s="28">
        <v>132150</v>
      </c>
      <c r="N1472" s="28">
        <v>126150</v>
      </c>
    </row>
    <row r="1473" spans="1:14" s="20" customFormat="1">
      <c r="A1473" s="253"/>
      <c r="B1473" s="231"/>
      <c r="C1473" s="32" t="s">
        <v>47</v>
      </c>
      <c r="D1473" s="77">
        <v>22020709</v>
      </c>
      <c r="E1473" s="135" t="s">
        <v>771</v>
      </c>
      <c r="F1473" s="136">
        <v>350000</v>
      </c>
      <c r="G1473" s="28">
        <v>350000</v>
      </c>
      <c r="H1473" s="28"/>
      <c r="I1473" s="28"/>
      <c r="J1473" s="28">
        <v>350000</v>
      </c>
      <c r="K1473" s="488">
        <f t="shared" si="272"/>
        <v>15330</v>
      </c>
      <c r="L1473" s="469">
        <v>334670</v>
      </c>
      <c r="M1473" s="28">
        <v>350000</v>
      </c>
      <c r="N1473" s="28">
        <v>350000</v>
      </c>
    </row>
    <row r="1474" spans="1:14" s="20" customFormat="1">
      <c r="A1474" s="253"/>
      <c r="B1474" s="231"/>
      <c r="C1474" s="32" t="s">
        <v>47</v>
      </c>
      <c r="D1474" s="77">
        <v>22020801</v>
      </c>
      <c r="E1474" s="135" t="s">
        <v>747</v>
      </c>
      <c r="F1474" s="136">
        <v>104400</v>
      </c>
      <c r="G1474" s="28">
        <v>104400</v>
      </c>
      <c r="H1474" s="28"/>
      <c r="I1474" s="28"/>
      <c r="J1474" s="28">
        <v>104400</v>
      </c>
      <c r="K1474" s="488">
        <f t="shared" si="272"/>
        <v>4572.72</v>
      </c>
      <c r="L1474" s="469">
        <v>99827.28</v>
      </c>
      <c r="M1474" s="28">
        <v>104400</v>
      </c>
      <c r="N1474" s="28">
        <v>104400</v>
      </c>
    </row>
    <row r="1475" spans="1:14" s="20" customFormat="1">
      <c r="A1475" s="253"/>
      <c r="B1475" s="231"/>
      <c r="C1475" s="32" t="s">
        <v>47</v>
      </c>
      <c r="D1475" s="77">
        <v>22020803</v>
      </c>
      <c r="E1475" s="135" t="s">
        <v>748</v>
      </c>
      <c r="F1475" s="136">
        <v>151200</v>
      </c>
      <c r="G1475" s="28">
        <v>151200</v>
      </c>
      <c r="H1475" s="28"/>
      <c r="I1475" s="28"/>
      <c r="J1475" s="28">
        <v>151200</v>
      </c>
      <c r="K1475" s="488">
        <f t="shared" si="272"/>
        <v>6622.5599999999995</v>
      </c>
      <c r="L1475" s="469">
        <v>144577.44</v>
      </c>
      <c r="M1475" s="28">
        <v>151200</v>
      </c>
      <c r="N1475" s="28">
        <v>151200</v>
      </c>
    </row>
    <row r="1476" spans="1:14" s="20" customFormat="1">
      <c r="A1476" s="253"/>
      <c r="B1476" s="231"/>
      <c r="C1476" s="32" t="s">
        <v>47</v>
      </c>
      <c r="D1476" s="77">
        <v>22020901</v>
      </c>
      <c r="E1476" s="135" t="s">
        <v>749</v>
      </c>
      <c r="F1476" s="136">
        <v>5000</v>
      </c>
      <c r="G1476" s="28">
        <v>5000</v>
      </c>
      <c r="H1476" s="28"/>
      <c r="I1476" s="28"/>
      <c r="J1476" s="28">
        <v>5000</v>
      </c>
      <c r="K1476" s="488">
        <f t="shared" si="272"/>
        <v>219</v>
      </c>
      <c r="L1476" s="469">
        <v>4781</v>
      </c>
      <c r="M1476" s="28">
        <v>500</v>
      </c>
      <c r="N1476" s="28">
        <v>1000</v>
      </c>
    </row>
    <row r="1477" spans="1:14" s="20" customFormat="1">
      <c r="A1477" s="253"/>
      <c r="B1477" s="231"/>
      <c r="C1477" s="32" t="s">
        <v>47</v>
      </c>
      <c r="D1477" s="77">
        <v>22021001</v>
      </c>
      <c r="E1477" s="135" t="s">
        <v>772</v>
      </c>
      <c r="F1477" s="136">
        <v>40000</v>
      </c>
      <c r="G1477" s="28">
        <v>40000</v>
      </c>
      <c r="H1477" s="28"/>
      <c r="I1477" s="28"/>
      <c r="J1477" s="28">
        <v>40000</v>
      </c>
      <c r="K1477" s="488">
        <f t="shared" si="272"/>
        <v>1752</v>
      </c>
      <c r="L1477" s="469">
        <v>38248</v>
      </c>
      <c r="M1477" s="28">
        <v>40000</v>
      </c>
      <c r="N1477" s="28">
        <v>40000</v>
      </c>
    </row>
    <row r="1478" spans="1:14" s="20" customFormat="1">
      <c r="A1478" s="238"/>
      <c r="B1478" s="231"/>
      <c r="C1478" s="30" t="s">
        <v>1839</v>
      </c>
      <c r="D1478" s="23"/>
      <c r="E1478" s="25"/>
      <c r="F1478" s="137">
        <f>SUM(F1462:F1477)</f>
        <v>4009655</v>
      </c>
      <c r="G1478" s="114">
        <f>SUM(G1462:G1477)</f>
        <v>4009655</v>
      </c>
      <c r="H1478" s="114">
        <f t="shared" ref="H1478:I1478" si="273">SUM(H1462:H1477)</f>
        <v>0</v>
      </c>
      <c r="I1478" s="114">
        <f t="shared" si="273"/>
        <v>0</v>
      </c>
      <c r="J1478" s="114">
        <f>SUM(J1462:J1477)</f>
        <v>4009655</v>
      </c>
      <c r="K1478" s="490">
        <f t="shared" si="272"/>
        <v>175622.889</v>
      </c>
      <c r="L1478" s="468">
        <f>SUM(L1462:L1477)</f>
        <v>3834032.111</v>
      </c>
      <c r="M1478" s="114">
        <f>SUM(M1462:M1477)</f>
        <v>3007755</v>
      </c>
      <c r="N1478" s="114">
        <f>SUM(N1462:N1477)</f>
        <v>3899855</v>
      </c>
    </row>
    <row r="1479" spans="1:14" s="66" customFormat="1">
      <c r="A1479" s="238" t="s">
        <v>992</v>
      </c>
      <c r="B1479" s="231" t="s">
        <v>1802</v>
      </c>
      <c r="C1479" s="30"/>
      <c r="D1479" s="23"/>
      <c r="E1479" s="25"/>
      <c r="F1479" s="137">
        <f>F1478+F1461</f>
        <v>44882275</v>
      </c>
      <c r="G1479" s="114">
        <f>G1478+G1461</f>
        <v>44882275</v>
      </c>
      <c r="H1479" s="114">
        <f t="shared" ref="H1479:I1479" si="274">H1478+H1461</f>
        <v>0</v>
      </c>
      <c r="I1479" s="114">
        <f t="shared" si="274"/>
        <v>0</v>
      </c>
      <c r="J1479" s="114">
        <f>J1478+J1461</f>
        <v>44882275</v>
      </c>
      <c r="K1479" s="490"/>
      <c r="L1479" s="468">
        <f>L1478+L1461</f>
        <v>44706652.111000001</v>
      </c>
      <c r="M1479" s="114">
        <f>M1478+M1461</f>
        <v>47967637</v>
      </c>
      <c r="N1479" s="114">
        <f>N1478+N1461</f>
        <v>53355725.200000003</v>
      </c>
    </row>
    <row r="1480" spans="1:14" s="20" customFormat="1" ht="21">
      <c r="A1480" s="252"/>
      <c r="B1480" s="443"/>
      <c r="C1480" s="228"/>
      <c r="D1480" s="229"/>
      <c r="E1480" s="230"/>
      <c r="F1480" s="215"/>
      <c r="G1480" s="296"/>
      <c r="H1480" s="296"/>
      <c r="I1480" s="296"/>
      <c r="J1480" s="28"/>
      <c r="K1480" s="488"/>
      <c r="L1480" s="468"/>
      <c r="M1480" s="296"/>
      <c r="N1480" s="296"/>
    </row>
    <row r="1481" spans="1:14" s="20" customFormat="1" ht="30">
      <c r="A1481" s="238" t="s">
        <v>993</v>
      </c>
      <c r="B1481" s="231" t="s">
        <v>128</v>
      </c>
      <c r="C1481" s="32" t="s">
        <v>46</v>
      </c>
      <c r="D1481" s="77">
        <v>21010101</v>
      </c>
      <c r="E1481" s="135" t="s">
        <v>725</v>
      </c>
      <c r="F1481" s="136">
        <v>97514060.311999992</v>
      </c>
      <c r="G1481" s="28">
        <v>97514060.311999992</v>
      </c>
      <c r="H1481" s="28"/>
      <c r="I1481" s="28"/>
      <c r="J1481" s="28">
        <v>97514060.311999992</v>
      </c>
      <c r="K1481" s="488"/>
      <c r="L1481" s="467">
        <v>97514060.311999992</v>
      </c>
      <c r="M1481" s="28">
        <f>G1481*10%+G1481</f>
        <v>107265466.3432</v>
      </c>
      <c r="N1481" s="28">
        <f>M1481*10%+M1481</f>
        <v>117992012.97752</v>
      </c>
    </row>
    <row r="1482" spans="1:14" s="20" customFormat="1">
      <c r="A1482" s="238"/>
      <c r="B1482" s="231"/>
      <c r="C1482" s="30" t="s">
        <v>1836</v>
      </c>
      <c r="D1482" s="23"/>
      <c r="E1482" s="25"/>
      <c r="F1482" s="137">
        <f>SUM(F1481)</f>
        <v>97514060.311999992</v>
      </c>
      <c r="G1482" s="114">
        <f>SUM(G1481)</f>
        <v>97514060.311999992</v>
      </c>
      <c r="H1482" s="114">
        <f t="shared" ref="H1482:I1482" si="275">SUM(H1481)</f>
        <v>0</v>
      </c>
      <c r="I1482" s="114">
        <f t="shared" si="275"/>
        <v>0</v>
      </c>
      <c r="J1482" s="114">
        <f>SUM(J1481)</f>
        <v>97514060.311999992</v>
      </c>
      <c r="K1482" s="490"/>
      <c r="L1482" s="468">
        <f>SUM(L1481)</f>
        <v>97514060.311999992</v>
      </c>
      <c r="M1482" s="114">
        <f>SUM(M1481)</f>
        <v>107265466.3432</v>
      </c>
      <c r="N1482" s="114">
        <f>SUM(N1481)</f>
        <v>117992012.97752</v>
      </c>
    </row>
    <row r="1483" spans="1:14" s="20" customFormat="1">
      <c r="A1483" s="253"/>
      <c r="B1483" s="231"/>
      <c r="C1483" s="32" t="s">
        <v>47</v>
      </c>
      <c r="D1483" s="77">
        <v>22020105</v>
      </c>
      <c r="E1483" s="135" t="s">
        <v>1733</v>
      </c>
      <c r="F1483" s="136">
        <f>800000+500000</f>
        <v>1300000</v>
      </c>
      <c r="G1483" s="28">
        <f>800000+500000</f>
        <v>1300000</v>
      </c>
      <c r="H1483" s="28"/>
      <c r="I1483" s="28"/>
      <c r="J1483" s="28">
        <v>1300000</v>
      </c>
      <c r="K1483" s="488">
        <f>J1483*4.38%</f>
        <v>56940</v>
      </c>
      <c r="L1483" s="469">
        <v>1243060</v>
      </c>
      <c r="M1483" s="28">
        <v>800000</v>
      </c>
      <c r="N1483" s="28">
        <v>800000</v>
      </c>
    </row>
    <row r="1484" spans="1:14" s="20" customFormat="1">
      <c r="A1484" s="253"/>
      <c r="B1484" s="231"/>
      <c r="C1484" s="32" t="s">
        <v>47</v>
      </c>
      <c r="D1484" s="77">
        <v>22020305</v>
      </c>
      <c r="E1484" s="135" t="s">
        <v>755</v>
      </c>
      <c r="F1484" s="136">
        <v>20000</v>
      </c>
      <c r="G1484" s="28">
        <v>20000</v>
      </c>
      <c r="H1484" s="28"/>
      <c r="I1484" s="28"/>
      <c r="J1484" s="28">
        <v>20000</v>
      </c>
      <c r="K1484" s="488">
        <f t="shared" ref="K1484:K1499" si="276">J1484*4.38%</f>
        <v>876</v>
      </c>
      <c r="L1484" s="469">
        <v>19124</v>
      </c>
      <c r="M1484" s="28">
        <v>20000</v>
      </c>
      <c r="N1484" s="28">
        <v>20000</v>
      </c>
    </row>
    <row r="1485" spans="1:14" s="20" customFormat="1">
      <c r="A1485" s="253"/>
      <c r="B1485" s="231"/>
      <c r="C1485" s="32" t="s">
        <v>47</v>
      </c>
      <c r="D1485" s="77">
        <v>22020310</v>
      </c>
      <c r="E1485" s="135" t="s">
        <v>819</v>
      </c>
      <c r="F1485" s="136">
        <v>1377000</v>
      </c>
      <c r="G1485" s="28">
        <f>1377000+10000</f>
        <v>1387000</v>
      </c>
      <c r="H1485" s="28"/>
      <c r="I1485" s="28"/>
      <c r="J1485" s="28">
        <v>1387000</v>
      </c>
      <c r="K1485" s="488">
        <f t="shared" si="276"/>
        <v>60750.6</v>
      </c>
      <c r="L1485" s="469">
        <v>1326249.4000000001</v>
      </c>
      <c r="M1485" s="28">
        <v>1377000</v>
      </c>
      <c r="N1485" s="28">
        <v>1377000</v>
      </c>
    </row>
    <row r="1486" spans="1:14" s="20" customFormat="1">
      <c r="A1486" s="253"/>
      <c r="B1486" s="231"/>
      <c r="C1486" s="32" t="s">
        <v>47</v>
      </c>
      <c r="D1486" s="77">
        <v>22020301</v>
      </c>
      <c r="E1486" s="135" t="s">
        <v>737</v>
      </c>
      <c r="F1486" s="136">
        <v>641000</v>
      </c>
      <c r="G1486" s="28">
        <v>641000</v>
      </c>
      <c r="H1486" s="28"/>
      <c r="I1486" s="28"/>
      <c r="J1486" s="28">
        <v>641000</v>
      </c>
      <c r="K1486" s="488">
        <f t="shared" si="276"/>
        <v>28075.8</v>
      </c>
      <c r="L1486" s="469">
        <v>612924.20000000007</v>
      </c>
      <c r="M1486" s="28">
        <v>641000</v>
      </c>
      <c r="N1486" s="28">
        <v>641000</v>
      </c>
    </row>
    <row r="1487" spans="1:14" s="20" customFormat="1">
      <c r="A1487" s="253"/>
      <c r="B1487" s="231"/>
      <c r="C1487" s="32" t="s">
        <v>47</v>
      </c>
      <c r="D1487" s="77">
        <v>22020401</v>
      </c>
      <c r="E1487" s="135" t="s">
        <v>741</v>
      </c>
      <c r="F1487" s="136">
        <v>550000</v>
      </c>
      <c r="G1487" s="28">
        <v>550000</v>
      </c>
      <c r="H1487" s="28"/>
      <c r="I1487" s="28"/>
      <c r="J1487" s="28">
        <v>550000</v>
      </c>
      <c r="K1487" s="488">
        <f t="shared" si="276"/>
        <v>24090</v>
      </c>
      <c r="L1487" s="469">
        <v>525910</v>
      </c>
      <c r="M1487" s="28">
        <v>550000</v>
      </c>
      <c r="N1487" s="28">
        <v>550000</v>
      </c>
    </row>
    <row r="1488" spans="1:14" s="20" customFormat="1">
      <c r="A1488" s="253"/>
      <c r="B1488" s="231"/>
      <c r="C1488" s="32" t="s">
        <v>47</v>
      </c>
      <c r="D1488" s="77">
        <v>22020402</v>
      </c>
      <c r="E1488" s="135" t="s">
        <v>757</v>
      </c>
      <c r="F1488" s="136">
        <v>30000</v>
      </c>
      <c r="G1488" s="28">
        <v>30000</v>
      </c>
      <c r="H1488" s="28"/>
      <c r="I1488" s="28"/>
      <c r="J1488" s="28">
        <v>30000</v>
      </c>
      <c r="K1488" s="488">
        <f t="shared" si="276"/>
        <v>1314</v>
      </c>
      <c r="L1488" s="469">
        <v>28686</v>
      </c>
      <c r="M1488" s="28">
        <v>30000</v>
      </c>
      <c r="N1488" s="28">
        <v>30000</v>
      </c>
    </row>
    <row r="1489" spans="1:14" s="20" customFormat="1">
      <c r="A1489" s="253"/>
      <c r="B1489" s="231"/>
      <c r="C1489" s="32" t="s">
        <v>47</v>
      </c>
      <c r="D1489" s="77">
        <v>22020418</v>
      </c>
      <c r="E1489" s="135" t="s">
        <v>994</v>
      </c>
      <c r="F1489" s="136">
        <v>200000</v>
      </c>
      <c r="G1489" s="28">
        <v>200000</v>
      </c>
      <c r="H1489" s="28"/>
      <c r="I1489" s="28"/>
      <c r="J1489" s="28">
        <v>200000</v>
      </c>
      <c r="K1489" s="488">
        <f t="shared" si="276"/>
        <v>8760</v>
      </c>
      <c r="L1489" s="469">
        <v>191240</v>
      </c>
      <c r="M1489" s="28">
        <v>200000</v>
      </c>
      <c r="N1489" s="28">
        <v>200000</v>
      </c>
    </row>
    <row r="1490" spans="1:14" s="20" customFormat="1">
      <c r="A1490" s="253"/>
      <c r="B1490" s="231"/>
      <c r="C1490" s="32" t="s">
        <v>47</v>
      </c>
      <c r="D1490" s="77">
        <v>22020605</v>
      </c>
      <c r="E1490" s="135" t="s">
        <v>768</v>
      </c>
      <c r="F1490" s="136">
        <v>10000</v>
      </c>
      <c r="G1490" s="28">
        <v>0</v>
      </c>
      <c r="H1490" s="28"/>
      <c r="I1490" s="28"/>
      <c r="J1490" s="28">
        <v>0</v>
      </c>
      <c r="K1490" s="488">
        <f t="shared" si="276"/>
        <v>0</v>
      </c>
      <c r="L1490" s="469">
        <v>0</v>
      </c>
      <c r="M1490" s="28">
        <v>10000</v>
      </c>
      <c r="N1490" s="28">
        <v>10000</v>
      </c>
    </row>
    <row r="1491" spans="1:14" s="20" customFormat="1">
      <c r="A1491" s="253"/>
      <c r="B1491" s="231"/>
      <c r="C1491" s="32" t="s">
        <v>47</v>
      </c>
      <c r="D1491" s="77">
        <v>22020615</v>
      </c>
      <c r="E1491" s="135" t="s">
        <v>995</v>
      </c>
      <c r="F1491" s="136">
        <v>600000</v>
      </c>
      <c r="G1491" s="28">
        <v>600000</v>
      </c>
      <c r="H1491" s="28"/>
      <c r="I1491" s="28"/>
      <c r="J1491" s="28">
        <v>600000</v>
      </c>
      <c r="K1491" s="488">
        <f t="shared" si="276"/>
        <v>26280</v>
      </c>
      <c r="L1491" s="469">
        <v>573720</v>
      </c>
      <c r="M1491" s="28">
        <v>600000</v>
      </c>
      <c r="N1491" s="28">
        <v>600000</v>
      </c>
    </row>
    <row r="1492" spans="1:14" s="20" customFormat="1">
      <c r="A1492" s="253"/>
      <c r="B1492" s="231"/>
      <c r="C1492" s="32" t="s">
        <v>47</v>
      </c>
      <c r="D1492" s="77">
        <v>22020709</v>
      </c>
      <c r="E1492" s="135" t="s">
        <v>771</v>
      </c>
      <c r="F1492" s="136">
        <v>1110000</v>
      </c>
      <c r="G1492" s="28">
        <v>1110000</v>
      </c>
      <c r="H1492" s="28"/>
      <c r="I1492" s="28"/>
      <c r="J1492" s="28">
        <v>1110000</v>
      </c>
      <c r="K1492" s="488">
        <f t="shared" si="276"/>
        <v>48618</v>
      </c>
      <c r="L1492" s="469">
        <v>1061382</v>
      </c>
      <c r="M1492" s="28">
        <v>1110000</v>
      </c>
      <c r="N1492" s="28">
        <v>1110000</v>
      </c>
    </row>
    <row r="1493" spans="1:14" s="20" customFormat="1">
      <c r="A1493" s="253"/>
      <c r="B1493" s="231"/>
      <c r="C1493" s="32" t="s">
        <v>47</v>
      </c>
      <c r="D1493" s="77">
        <v>22020801</v>
      </c>
      <c r="E1493" s="135" t="s">
        <v>747</v>
      </c>
      <c r="F1493" s="136">
        <v>500000</v>
      </c>
      <c r="G1493" s="28">
        <v>500000</v>
      </c>
      <c r="H1493" s="28"/>
      <c r="I1493" s="28"/>
      <c r="J1493" s="28">
        <v>500000</v>
      </c>
      <c r="K1493" s="488">
        <f t="shared" si="276"/>
        <v>21900</v>
      </c>
      <c r="L1493" s="469">
        <v>478100</v>
      </c>
      <c r="M1493" s="28">
        <v>500000</v>
      </c>
      <c r="N1493" s="28">
        <v>500000</v>
      </c>
    </row>
    <row r="1494" spans="1:14" s="20" customFormat="1">
      <c r="A1494" s="253"/>
      <c r="B1494" s="231"/>
      <c r="C1494" s="32" t="s">
        <v>47</v>
      </c>
      <c r="D1494" s="77">
        <v>22020803</v>
      </c>
      <c r="E1494" s="135" t="s">
        <v>748</v>
      </c>
      <c r="F1494" s="136">
        <f>29031+20000</f>
        <v>49031</v>
      </c>
      <c r="G1494" s="28">
        <f>29031+20000</f>
        <v>49031</v>
      </c>
      <c r="H1494" s="28"/>
      <c r="I1494" s="28"/>
      <c r="J1494" s="28">
        <v>49031</v>
      </c>
      <c r="K1494" s="488">
        <f t="shared" si="276"/>
        <v>2147.5578</v>
      </c>
      <c r="L1494" s="469">
        <v>46883.442200000005</v>
      </c>
      <c r="M1494" s="28">
        <v>29031</v>
      </c>
      <c r="N1494" s="28">
        <v>29031</v>
      </c>
    </row>
    <row r="1495" spans="1:14" s="20" customFormat="1">
      <c r="A1495" s="253"/>
      <c r="B1495" s="231"/>
      <c r="C1495" s="32" t="s">
        <v>47</v>
      </c>
      <c r="D1495" s="77">
        <v>22020901</v>
      </c>
      <c r="E1495" s="135" t="s">
        <v>749</v>
      </c>
      <c r="F1495" s="136">
        <v>20000</v>
      </c>
      <c r="G1495" s="28">
        <v>20000</v>
      </c>
      <c r="H1495" s="28"/>
      <c r="I1495" s="28"/>
      <c r="J1495" s="28">
        <v>20000</v>
      </c>
      <c r="K1495" s="488">
        <f t="shared" si="276"/>
        <v>876</v>
      </c>
      <c r="L1495" s="469">
        <v>19124</v>
      </c>
      <c r="M1495" s="28">
        <f>G1495*10%+G1495</f>
        <v>22000</v>
      </c>
      <c r="N1495" s="28">
        <f>M1495*10%+M1495</f>
        <v>24200</v>
      </c>
    </row>
    <row r="1496" spans="1:14" s="20" customFormat="1">
      <c r="A1496" s="253"/>
      <c r="B1496" s="231"/>
      <c r="C1496" s="32" t="s">
        <v>47</v>
      </c>
      <c r="D1496" s="77">
        <v>22021001</v>
      </c>
      <c r="E1496" s="135" t="s">
        <v>772</v>
      </c>
      <c r="F1496" s="136">
        <v>100000</v>
      </c>
      <c r="G1496" s="28">
        <v>100000</v>
      </c>
      <c r="H1496" s="28"/>
      <c r="I1496" s="28"/>
      <c r="J1496" s="28">
        <v>100000</v>
      </c>
      <c r="K1496" s="488">
        <f t="shared" si="276"/>
        <v>4380</v>
      </c>
      <c r="L1496" s="469">
        <v>95620</v>
      </c>
      <c r="M1496" s="28">
        <v>100000</v>
      </c>
      <c r="N1496" s="28">
        <v>100000</v>
      </c>
    </row>
    <row r="1497" spans="1:14" s="20" customFormat="1">
      <c r="A1497" s="253"/>
      <c r="B1497" s="231"/>
      <c r="C1497" s="32" t="s">
        <v>47</v>
      </c>
      <c r="D1497" s="77">
        <v>22021003</v>
      </c>
      <c r="E1497" s="135" t="s">
        <v>760</v>
      </c>
      <c r="F1497" s="136">
        <v>200000</v>
      </c>
      <c r="G1497" s="28">
        <v>200000</v>
      </c>
      <c r="H1497" s="28"/>
      <c r="I1497" s="28"/>
      <c r="J1497" s="28">
        <v>200000</v>
      </c>
      <c r="K1497" s="488">
        <f t="shared" si="276"/>
        <v>8760</v>
      </c>
      <c r="L1497" s="469">
        <v>191240</v>
      </c>
      <c r="M1497" s="28">
        <v>200000</v>
      </c>
      <c r="N1497" s="28">
        <v>200000</v>
      </c>
    </row>
    <row r="1498" spans="1:14" s="20" customFormat="1">
      <c r="A1498" s="253"/>
      <c r="B1498" s="231"/>
      <c r="C1498" s="32" t="s">
        <v>47</v>
      </c>
      <c r="D1498" s="77">
        <v>22021021</v>
      </c>
      <c r="E1498" s="135" t="s">
        <v>832</v>
      </c>
      <c r="F1498" s="136">
        <v>600000</v>
      </c>
      <c r="G1498" s="28">
        <v>600000</v>
      </c>
      <c r="H1498" s="28"/>
      <c r="I1498" s="28"/>
      <c r="J1498" s="28">
        <v>600000</v>
      </c>
      <c r="K1498" s="488">
        <f t="shared" si="276"/>
        <v>26280</v>
      </c>
      <c r="L1498" s="469">
        <v>573720</v>
      </c>
      <c r="M1498" s="28">
        <v>600000</v>
      </c>
      <c r="N1498" s="28">
        <v>600000</v>
      </c>
    </row>
    <row r="1499" spans="1:14" s="20" customFormat="1">
      <c r="A1499" s="238"/>
      <c r="B1499" s="231"/>
      <c r="C1499" s="30" t="s">
        <v>1837</v>
      </c>
      <c r="D1499" s="23"/>
      <c r="E1499" s="25"/>
      <c r="F1499" s="137">
        <f>SUM(F1483:F1498)</f>
        <v>7307031</v>
      </c>
      <c r="G1499" s="114">
        <f>SUM(G1483:G1498)</f>
        <v>7307031</v>
      </c>
      <c r="H1499" s="114">
        <f t="shared" ref="H1499:I1499" si="277">SUM(H1483:H1498)</f>
        <v>0</v>
      </c>
      <c r="I1499" s="114">
        <f t="shared" si="277"/>
        <v>0</v>
      </c>
      <c r="J1499" s="114">
        <f>SUM(J1483:J1498)</f>
        <v>7307031</v>
      </c>
      <c r="K1499" s="490">
        <f t="shared" si="276"/>
        <v>320047.95779999997</v>
      </c>
      <c r="L1499" s="468">
        <f>SUM(L1483:L1498)</f>
        <v>6986983.042200001</v>
      </c>
      <c r="M1499" s="114">
        <f>SUM(M1483:M1498)</f>
        <v>6789031</v>
      </c>
      <c r="N1499" s="114">
        <f>SUM(N1483:N1498)</f>
        <v>6791231</v>
      </c>
    </row>
    <row r="1500" spans="1:14" s="66" customFormat="1" ht="30">
      <c r="A1500" s="238" t="s">
        <v>993</v>
      </c>
      <c r="B1500" s="231" t="s">
        <v>1803</v>
      </c>
      <c r="C1500" s="30"/>
      <c r="D1500" s="23"/>
      <c r="E1500" s="25"/>
      <c r="F1500" s="137">
        <f>F1499+F1482</f>
        <v>104821091.31199999</v>
      </c>
      <c r="G1500" s="114">
        <f>G1499+G1482</f>
        <v>104821091.31199999</v>
      </c>
      <c r="H1500" s="114">
        <f t="shared" ref="H1500:I1500" si="278">H1499+H1482</f>
        <v>0</v>
      </c>
      <c r="I1500" s="114">
        <f t="shared" si="278"/>
        <v>0</v>
      </c>
      <c r="J1500" s="114">
        <f>J1499+J1482</f>
        <v>104821091.31199999</v>
      </c>
      <c r="K1500" s="490"/>
      <c r="L1500" s="468">
        <f>L1499+L1482</f>
        <v>104501043.35419999</v>
      </c>
      <c r="M1500" s="114">
        <f>M1499+M1482</f>
        <v>114054497.3432</v>
      </c>
      <c r="N1500" s="114">
        <f>N1499+N1482</f>
        <v>124783243.97752</v>
      </c>
    </row>
    <row r="1501" spans="1:14" s="20" customFormat="1" ht="21">
      <c r="A1501" s="252"/>
      <c r="B1501" s="443"/>
      <c r="C1501" s="228"/>
      <c r="D1501" s="229"/>
      <c r="E1501" s="230"/>
      <c r="F1501" s="215"/>
      <c r="G1501" s="296"/>
      <c r="H1501" s="296"/>
      <c r="I1501" s="296"/>
      <c r="J1501" s="28"/>
      <c r="K1501" s="488"/>
      <c r="L1501" s="468"/>
      <c r="M1501" s="296"/>
      <c r="N1501" s="296"/>
    </row>
    <row r="1502" spans="1:14" s="20" customFormat="1" ht="18" customHeight="1">
      <c r="A1502" s="238" t="s">
        <v>996</v>
      </c>
      <c r="B1502" s="231" t="s">
        <v>124</v>
      </c>
      <c r="C1502" s="32" t="s">
        <v>46</v>
      </c>
      <c r="D1502" s="77">
        <v>21010101</v>
      </c>
      <c r="E1502" s="135" t="s">
        <v>725</v>
      </c>
      <c r="F1502" s="138">
        <v>1379834483.8399997</v>
      </c>
      <c r="G1502" s="297">
        <v>1379834483.8399997</v>
      </c>
      <c r="H1502" s="297"/>
      <c r="I1502" s="297"/>
      <c r="J1502" s="28">
        <v>1379834483.8399997</v>
      </c>
      <c r="K1502" s="488"/>
      <c r="L1502" s="467">
        <v>1379834483.8399997</v>
      </c>
      <c r="M1502" s="297">
        <f>G1502*10%+G1502</f>
        <v>1517817932.2239997</v>
      </c>
      <c r="N1502" s="297">
        <f>M1502*10%+M1502</f>
        <v>1669599725.4463997</v>
      </c>
    </row>
    <row r="1503" spans="1:14" s="20" customFormat="1" ht="18" customHeight="1">
      <c r="A1503" s="238"/>
      <c r="B1503" s="231"/>
      <c r="C1503" s="30" t="s">
        <v>1842</v>
      </c>
      <c r="D1503" s="23"/>
      <c r="E1503" s="25"/>
      <c r="F1503" s="137">
        <f>SUM(F1502)</f>
        <v>1379834483.8399997</v>
      </c>
      <c r="G1503" s="114">
        <f>SUM(G1502)</f>
        <v>1379834483.8399997</v>
      </c>
      <c r="H1503" s="114">
        <f t="shared" ref="H1503:I1503" si="279">SUM(H1502)</f>
        <v>0</v>
      </c>
      <c r="I1503" s="114">
        <f t="shared" si="279"/>
        <v>0</v>
      </c>
      <c r="J1503" s="114">
        <f>SUM(J1502)</f>
        <v>1379834483.8399997</v>
      </c>
      <c r="K1503" s="490"/>
      <c r="L1503" s="468">
        <f>SUM(L1502)</f>
        <v>1379834483.8399997</v>
      </c>
      <c r="M1503" s="114">
        <f>SUM(M1502)</f>
        <v>1517817932.2239997</v>
      </c>
      <c r="N1503" s="114">
        <f>SUM(N1502)</f>
        <v>1669599725.4463997</v>
      </c>
    </row>
    <row r="1504" spans="1:14" s="20" customFormat="1" ht="18" customHeight="1">
      <c r="A1504" s="253"/>
      <c r="B1504" s="231"/>
      <c r="C1504" s="32" t="s">
        <v>47</v>
      </c>
      <c r="D1504" s="77">
        <v>22020105</v>
      </c>
      <c r="E1504" s="135" t="s">
        <v>1733</v>
      </c>
      <c r="F1504" s="136">
        <v>18916000</v>
      </c>
      <c r="G1504" s="28">
        <v>18916000</v>
      </c>
      <c r="H1504" s="28"/>
      <c r="I1504" s="28"/>
      <c r="J1504" s="28">
        <v>18916000</v>
      </c>
      <c r="K1504" s="488">
        <f>J1504*4.38%</f>
        <v>828520.79999999993</v>
      </c>
      <c r="L1504" s="469">
        <v>18087479.199999999</v>
      </c>
      <c r="M1504" s="28">
        <v>18916000</v>
      </c>
      <c r="N1504" s="28">
        <v>18916000</v>
      </c>
    </row>
    <row r="1505" spans="1:14" s="20" customFormat="1" ht="18" customHeight="1">
      <c r="A1505" s="253"/>
      <c r="B1505" s="231"/>
      <c r="C1505" s="32" t="s">
        <v>47</v>
      </c>
      <c r="D1505" s="77">
        <v>22020106</v>
      </c>
      <c r="E1505" s="135" t="s">
        <v>846</v>
      </c>
      <c r="F1505" s="136">
        <v>5425000</v>
      </c>
      <c r="G1505" s="28">
        <v>5425000</v>
      </c>
      <c r="H1505" s="28"/>
      <c r="I1505" s="28"/>
      <c r="J1505" s="28">
        <v>5425000</v>
      </c>
      <c r="K1505" s="488">
        <f t="shared" ref="K1505:K1545" si="280">J1505*4.38%</f>
        <v>237615</v>
      </c>
      <c r="L1505" s="469">
        <v>5187385</v>
      </c>
      <c r="M1505" s="28">
        <v>5425000</v>
      </c>
      <c r="N1505" s="28">
        <v>5425000</v>
      </c>
    </row>
    <row r="1506" spans="1:14" s="20" customFormat="1" ht="18" customHeight="1">
      <c r="A1506" s="253"/>
      <c r="B1506" s="231"/>
      <c r="C1506" s="32" t="s">
        <v>47</v>
      </c>
      <c r="D1506" s="77">
        <v>22020108</v>
      </c>
      <c r="E1506" s="135" t="s">
        <v>812</v>
      </c>
      <c r="F1506" s="136">
        <v>2700000</v>
      </c>
      <c r="G1506" s="28">
        <v>2700000</v>
      </c>
      <c r="H1506" s="28"/>
      <c r="I1506" s="28"/>
      <c r="J1506" s="28">
        <v>2700000</v>
      </c>
      <c r="K1506" s="488">
        <f t="shared" si="280"/>
        <v>118260</v>
      </c>
      <c r="L1506" s="469">
        <v>2581740</v>
      </c>
      <c r="M1506" s="28">
        <v>2700000</v>
      </c>
      <c r="N1506" s="28">
        <v>2700000</v>
      </c>
    </row>
    <row r="1507" spans="1:14" s="20" customFormat="1" ht="18" customHeight="1">
      <c r="A1507" s="253"/>
      <c r="B1507" s="231"/>
      <c r="C1507" s="32" t="s">
        <v>47</v>
      </c>
      <c r="D1507" s="77">
        <v>22020112</v>
      </c>
      <c r="E1507" s="135" t="s">
        <v>848</v>
      </c>
      <c r="F1507" s="136">
        <v>4500000</v>
      </c>
      <c r="G1507" s="28">
        <v>4500000</v>
      </c>
      <c r="H1507" s="28"/>
      <c r="I1507" s="28"/>
      <c r="J1507" s="28">
        <v>4500000</v>
      </c>
      <c r="K1507" s="488">
        <f t="shared" si="280"/>
        <v>197100</v>
      </c>
      <c r="L1507" s="469">
        <v>4302900</v>
      </c>
      <c r="M1507" s="28">
        <v>4500000</v>
      </c>
      <c r="N1507" s="28">
        <v>4500000</v>
      </c>
    </row>
    <row r="1508" spans="1:14" s="20" customFormat="1" ht="18" customHeight="1">
      <c r="A1508" s="253"/>
      <c r="B1508" s="231"/>
      <c r="C1508" s="32" t="s">
        <v>47</v>
      </c>
      <c r="D1508" s="77">
        <v>22020114</v>
      </c>
      <c r="E1508" s="135" t="s">
        <v>830</v>
      </c>
      <c r="F1508" s="136">
        <v>15750000</v>
      </c>
      <c r="G1508" s="28">
        <v>15750000</v>
      </c>
      <c r="H1508" s="28"/>
      <c r="I1508" s="28"/>
      <c r="J1508" s="28">
        <v>15750000</v>
      </c>
      <c r="K1508" s="488">
        <f t="shared" si="280"/>
        <v>689850</v>
      </c>
      <c r="L1508" s="469">
        <v>15060150</v>
      </c>
      <c r="M1508" s="28">
        <v>15750000</v>
      </c>
      <c r="N1508" s="28">
        <v>15750000</v>
      </c>
    </row>
    <row r="1509" spans="1:14" s="20" customFormat="1" ht="18" customHeight="1">
      <c r="A1509" s="253"/>
      <c r="B1509" s="231"/>
      <c r="C1509" s="32" t="s">
        <v>47</v>
      </c>
      <c r="D1509" s="77">
        <v>22020201</v>
      </c>
      <c r="E1509" s="135" t="s">
        <v>849</v>
      </c>
      <c r="F1509" s="136">
        <v>29978359.121999998</v>
      </c>
      <c r="G1509" s="28">
        <v>29978359.121999998</v>
      </c>
      <c r="H1509" s="28"/>
      <c r="I1509" s="28"/>
      <c r="J1509" s="28">
        <v>29978359.121999998</v>
      </c>
      <c r="K1509" s="488">
        <f t="shared" si="280"/>
        <v>1313052.1295435999</v>
      </c>
      <c r="L1509" s="469">
        <v>28665306.992456399</v>
      </c>
      <c r="M1509" s="28">
        <v>29978359.121999998</v>
      </c>
      <c r="N1509" s="28">
        <v>29978359.121999998</v>
      </c>
    </row>
    <row r="1510" spans="1:14" s="20" customFormat="1" ht="18" customHeight="1">
      <c r="A1510" s="253"/>
      <c r="B1510" s="231"/>
      <c r="C1510" s="32" t="s">
        <v>47</v>
      </c>
      <c r="D1510" s="77">
        <v>22020202</v>
      </c>
      <c r="E1510" s="135" t="s">
        <v>865</v>
      </c>
      <c r="F1510" s="136">
        <v>555000</v>
      </c>
      <c r="G1510" s="28">
        <v>555000</v>
      </c>
      <c r="H1510" s="28"/>
      <c r="I1510" s="28"/>
      <c r="J1510" s="28">
        <v>555000</v>
      </c>
      <c r="K1510" s="488">
        <f t="shared" si="280"/>
        <v>24309</v>
      </c>
      <c r="L1510" s="469">
        <v>530691</v>
      </c>
      <c r="M1510" s="28">
        <v>555000</v>
      </c>
      <c r="N1510" s="28">
        <v>555000</v>
      </c>
    </row>
    <row r="1511" spans="1:14" s="20" customFormat="1" ht="18" customHeight="1">
      <c r="A1511" s="253"/>
      <c r="B1511" s="231"/>
      <c r="C1511" s="32" t="s">
        <v>47</v>
      </c>
      <c r="D1511" s="77">
        <v>22020203</v>
      </c>
      <c r="E1511" s="135" t="s">
        <v>779</v>
      </c>
      <c r="F1511" s="136">
        <v>4268500</v>
      </c>
      <c r="G1511" s="28">
        <v>4268500</v>
      </c>
      <c r="H1511" s="28"/>
      <c r="I1511" s="28"/>
      <c r="J1511" s="28">
        <v>4268500</v>
      </c>
      <c r="K1511" s="488">
        <f t="shared" si="280"/>
        <v>186960.3</v>
      </c>
      <c r="L1511" s="469">
        <v>4081539.7</v>
      </c>
      <c r="M1511" s="28">
        <v>4268500</v>
      </c>
      <c r="N1511" s="28">
        <v>4268500</v>
      </c>
    </row>
    <row r="1512" spans="1:14" s="20" customFormat="1" ht="18" customHeight="1">
      <c r="A1512" s="253"/>
      <c r="B1512" s="231"/>
      <c r="C1512" s="32" t="s">
        <v>47</v>
      </c>
      <c r="D1512" s="77">
        <v>22020205</v>
      </c>
      <c r="E1512" s="135" t="s">
        <v>850</v>
      </c>
      <c r="F1512" s="136">
        <v>4320000</v>
      </c>
      <c r="G1512" s="28">
        <v>4320000</v>
      </c>
      <c r="H1512" s="28"/>
      <c r="I1512" s="28"/>
      <c r="J1512" s="28">
        <v>4320000</v>
      </c>
      <c r="K1512" s="488">
        <f t="shared" si="280"/>
        <v>189216</v>
      </c>
      <c r="L1512" s="469">
        <v>4130784</v>
      </c>
      <c r="M1512" s="28">
        <v>4320000</v>
      </c>
      <c r="N1512" s="28">
        <v>4320000</v>
      </c>
    </row>
    <row r="1513" spans="1:14" s="20" customFormat="1" ht="18" customHeight="1">
      <c r="A1513" s="253"/>
      <c r="B1513" s="231"/>
      <c r="C1513" s="32" t="s">
        <v>47</v>
      </c>
      <c r="D1513" s="77">
        <v>22020209</v>
      </c>
      <c r="E1513" s="135" t="s">
        <v>750</v>
      </c>
      <c r="F1513" s="136">
        <v>3300000</v>
      </c>
      <c r="G1513" s="28">
        <v>3300000</v>
      </c>
      <c r="H1513" s="28"/>
      <c r="I1513" s="28"/>
      <c r="J1513" s="28">
        <v>3300000</v>
      </c>
      <c r="K1513" s="488">
        <f t="shared" si="280"/>
        <v>144540</v>
      </c>
      <c r="L1513" s="469">
        <v>3155460</v>
      </c>
      <c r="M1513" s="28">
        <v>3300000</v>
      </c>
      <c r="N1513" s="28">
        <v>3300000</v>
      </c>
    </row>
    <row r="1514" spans="1:14" s="20" customFormat="1" ht="18" customHeight="1">
      <c r="A1514" s="253"/>
      <c r="B1514" s="231"/>
      <c r="C1514" s="32" t="s">
        <v>47</v>
      </c>
      <c r="D1514" s="77">
        <v>22020301</v>
      </c>
      <c r="E1514" s="135" t="s">
        <v>737</v>
      </c>
      <c r="F1514" s="136">
        <v>2304000</v>
      </c>
      <c r="G1514" s="28">
        <v>2304000</v>
      </c>
      <c r="H1514" s="28"/>
      <c r="I1514" s="28"/>
      <c r="J1514" s="28">
        <v>2304000</v>
      </c>
      <c r="K1514" s="488">
        <f t="shared" si="280"/>
        <v>100915.2</v>
      </c>
      <c r="L1514" s="469">
        <v>2203084.8000000003</v>
      </c>
      <c r="M1514" s="28">
        <v>2281500</v>
      </c>
      <c r="N1514" s="28">
        <v>2281500</v>
      </c>
    </row>
    <row r="1515" spans="1:14" s="20" customFormat="1" ht="18" customHeight="1">
      <c r="A1515" s="253"/>
      <c r="B1515" s="231"/>
      <c r="C1515" s="32" t="s">
        <v>47</v>
      </c>
      <c r="D1515" s="77">
        <v>22020303</v>
      </c>
      <c r="E1515" s="135" t="s">
        <v>738</v>
      </c>
      <c r="F1515" s="136">
        <v>126000</v>
      </c>
      <c r="G1515" s="28">
        <v>126000</v>
      </c>
      <c r="H1515" s="28"/>
      <c r="I1515" s="28"/>
      <c r="J1515" s="28">
        <v>126000</v>
      </c>
      <c r="K1515" s="488">
        <f t="shared" si="280"/>
        <v>5518.8</v>
      </c>
      <c r="L1515" s="469">
        <v>120481.20000000001</v>
      </c>
      <c r="M1515" s="28">
        <v>126000</v>
      </c>
      <c r="N1515" s="28">
        <v>126000</v>
      </c>
    </row>
    <row r="1516" spans="1:14" s="20" customFormat="1" ht="18" customHeight="1">
      <c r="A1516" s="253"/>
      <c r="B1516" s="231"/>
      <c r="C1516" s="32" t="s">
        <v>47</v>
      </c>
      <c r="D1516" s="77">
        <v>22020305</v>
      </c>
      <c r="E1516" s="135" t="s">
        <v>755</v>
      </c>
      <c r="F1516" s="136">
        <v>3750000</v>
      </c>
      <c r="G1516" s="28">
        <v>3750000</v>
      </c>
      <c r="H1516" s="28"/>
      <c r="I1516" s="28"/>
      <c r="J1516" s="28">
        <v>3750000</v>
      </c>
      <c r="K1516" s="488">
        <f t="shared" si="280"/>
        <v>164250</v>
      </c>
      <c r="L1516" s="469">
        <v>3585750</v>
      </c>
      <c r="M1516" s="28">
        <v>3750000</v>
      </c>
      <c r="N1516" s="28">
        <v>3750000</v>
      </c>
    </row>
    <row r="1517" spans="1:14" s="20" customFormat="1" ht="18" customHeight="1">
      <c r="A1517" s="253"/>
      <c r="B1517" s="231"/>
      <c r="C1517" s="32" t="s">
        <v>47</v>
      </c>
      <c r="D1517" s="77">
        <v>22020306</v>
      </c>
      <c r="E1517" s="135" t="s">
        <v>765</v>
      </c>
      <c r="F1517" s="136">
        <v>29500000</v>
      </c>
      <c r="G1517" s="28">
        <v>29500000</v>
      </c>
      <c r="H1517" s="28"/>
      <c r="I1517" s="28"/>
      <c r="J1517" s="28">
        <v>29500000</v>
      </c>
      <c r="K1517" s="488">
        <f t="shared" si="280"/>
        <v>1292100</v>
      </c>
      <c r="L1517" s="469">
        <v>28207900</v>
      </c>
      <c r="M1517" s="28">
        <v>51950000</v>
      </c>
      <c r="N1517" s="28">
        <v>51950000</v>
      </c>
    </row>
    <row r="1518" spans="1:14" s="20" customFormat="1" ht="18" customHeight="1">
      <c r="A1518" s="253"/>
      <c r="B1518" s="231"/>
      <c r="C1518" s="32" t="s">
        <v>47</v>
      </c>
      <c r="D1518" s="77">
        <v>22020307</v>
      </c>
      <c r="E1518" s="135" t="s">
        <v>822</v>
      </c>
      <c r="F1518" s="136">
        <v>13100000</v>
      </c>
      <c r="G1518" s="28">
        <v>13100000</v>
      </c>
      <c r="H1518" s="28"/>
      <c r="I1518" s="28"/>
      <c r="J1518" s="28">
        <v>13100000</v>
      </c>
      <c r="K1518" s="488">
        <f t="shared" si="280"/>
        <v>573780</v>
      </c>
      <c r="L1518" s="469">
        <v>12526220</v>
      </c>
      <c r="M1518" s="28">
        <v>16375000</v>
      </c>
      <c r="N1518" s="28">
        <v>16375000</v>
      </c>
    </row>
    <row r="1519" spans="1:14" s="20" customFormat="1" ht="18" customHeight="1">
      <c r="A1519" s="253"/>
      <c r="B1519" s="231"/>
      <c r="C1519" s="32" t="s">
        <v>47</v>
      </c>
      <c r="D1519" s="77">
        <v>22020309</v>
      </c>
      <c r="E1519" s="135" t="s">
        <v>739</v>
      </c>
      <c r="F1519" s="136">
        <v>478000</v>
      </c>
      <c r="G1519" s="28">
        <v>478000</v>
      </c>
      <c r="H1519" s="28"/>
      <c r="I1519" s="28"/>
      <c r="J1519" s="28">
        <v>478000</v>
      </c>
      <c r="K1519" s="488">
        <f t="shared" si="280"/>
        <v>20936.399999999998</v>
      </c>
      <c r="L1519" s="469">
        <v>457063.60000000003</v>
      </c>
      <c r="M1519" s="28">
        <v>478000</v>
      </c>
      <c r="N1519" s="28">
        <v>478000</v>
      </c>
    </row>
    <row r="1520" spans="1:14" s="20" customFormat="1" ht="18" customHeight="1">
      <c r="A1520" s="253"/>
      <c r="B1520" s="231"/>
      <c r="C1520" s="32" t="s">
        <v>47</v>
      </c>
      <c r="D1520" s="77">
        <v>22020310</v>
      </c>
      <c r="E1520" s="135" t="s">
        <v>819</v>
      </c>
      <c r="F1520" s="136">
        <v>4291000</v>
      </c>
      <c r="G1520" s="28">
        <v>4291000</v>
      </c>
      <c r="H1520" s="28"/>
      <c r="I1520" s="28"/>
      <c r="J1520" s="28">
        <v>4291000</v>
      </c>
      <c r="K1520" s="488">
        <f t="shared" si="280"/>
        <v>187945.8</v>
      </c>
      <c r="L1520" s="469">
        <v>4103054.2</v>
      </c>
      <c r="M1520" s="28">
        <v>4291000</v>
      </c>
      <c r="N1520" s="28">
        <v>4291000</v>
      </c>
    </row>
    <row r="1521" spans="1:14" s="20" customFormat="1" ht="18" customHeight="1">
      <c r="A1521" s="253"/>
      <c r="B1521" s="231"/>
      <c r="C1521" s="32" t="s">
        <v>47</v>
      </c>
      <c r="D1521" s="77">
        <v>22020315</v>
      </c>
      <c r="E1521" s="135" t="s">
        <v>740</v>
      </c>
      <c r="F1521" s="136">
        <v>6000000</v>
      </c>
      <c r="G1521" s="28">
        <v>6000000</v>
      </c>
      <c r="H1521" s="28"/>
      <c r="I1521" s="28"/>
      <c r="J1521" s="28">
        <v>6000000</v>
      </c>
      <c r="K1521" s="488">
        <f t="shared" si="280"/>
        <v>262800</v>
      </c>
      <c r="L1521" s="469">
        <v>5737200</v>
      </c>
      <c r="M1521" s="28">
        <v>6000000</v>
      </c>
      <c r="N1521" s="28">
        <v>6000000</v>
      </c>
    </row>
    <row r="1522" spans="1:14" s="20" customFormat="1" ht="18" customHeight="1">
      <c r="A1522" s="253"/>
      <c r="B1522" s="231"/>
      <c r="C1522" s="32" t="s">
        <v>47</v>
      </c>
      <c r="D1522" s="77">
        <v>22020401</v>
      </c>
      <c r="E1522" s="135" t="s">
        <v>741</v>
      </c>
      <c r="F1522" s="136">
        <v>6100000</v>
      </c>
      <c r="G1522" s="28">
        <v>6100000</v>
      </c>
      <c r="H1522" s="28"/>
      <c r="I1522" s="28"/>
      <c r="J1522" s="28">
        <v>6100000</v>
      </c>
      <c r="K1522" s="488">
        <f t="shared" si="280"/>
        <v>267180</v>
      </c>
      <c r="L1522" s="469">
        <v>5832820</v>
      </c>
      <c r="M1522" s="28">
        <v>6100000</v>
      </c>
      <c r="N1522" s="28">
        <v>6100000</v>
      </c>
    </row>
    <row r="1523" spans="1:14" s="20" customFormat="1" ht="18" customHeight="1">
      <c r="A1523" s="253"/>
      <c r="B1523" s="231"/>
      <c r="C1523" s="32" t="s">
        <v>47</v>
      </c>
      <c r="D1523" s="77">
        <v>22020402</v>
      </c>
      <c r="E1523" s="135" t="s">
        <v>757</v>
      </c>
      <c r="F1523" s="136">
        <v>3000000</v>
      </c>
      <c r="G1523" s="28">
        <v>3000000</v>
      </c>
      <c r="H1523" s="28"/>
      <c r="I1523" s="28"/>
      <c r="J1523" s="28">
        <v>3000000</v>
      </c>
      <c r="K1523" s="488">
        <f t="shared" si="280"/>
        <v>131400</v>
      </c>
      <c r="L1523" s="469">
        <v>2868600</v>
      </c>
      <c r="M1523" s="28">
        <v>6000000</v>
      </c>
      <c r="N1523" s="28">
        <v>6000000</v>
      </c>
    </row>
    <row r="1524" spans="1:14" s="20" customFormat="1" ht="18" customHeight="1">
      <c r="A1524" s="253"/>
      <c r="B1524" s="231"/>
      <c r="C1524" s="32" t="s">
        <v>47</v>
      </c>
      <c r="D1524" s="77">
        <v>22020403</v>
      </c>
      <c r="E1524" s="135" t="s">
        <v>781</v>
      </c>
      <c r="F1524" s="136">
        <v>37500500</v>
      </c>
      <c r="G1524" s="28">
        <v>37500500</v>
      </c>
      <c r="H1524" s="28"/>
      <c r="I1524" s="28"/>
      <c r="J1524" s="28">
        <v>37500500</v>
      </c>
      <c r="K1524" s="488">
        <f t="shared" si="280"/>
        <v>1642521.9</v>
      </c>
      <c r="L1524" s="469">
        <v>35857978.100000001</v>
      </c>
      <c r="M1524" s="28">
        <v>40001000</v>
      </c>
      <c r="N1524" s="28">
        <v>40001000</v>
      </c>
    </row>
    <row r="1525" spans="1:14" s="20" customFormat="1" ht="18" customHeight="1">
      <c r="A1525" s="253"/>
      <c r="B1525" s="231"/>
      <c r="C1525" s="32" t="s">
        <v>47</v>
      </c>
      <c r="D1525" s="77">
        <v>22020405</v>
      </c>
      <c r="E1525" s="135" t="s">
        <v>743</v>
      </c>
      <c r="F1525" s="136">
        <v>3456000</v>
      </c>
      <c r="G1525" s="28">
        <v>3456000</v>
      </c>
      <c r="H1525" s="28"/>
      <c r="I1525" s="28"/>
      <c r="J1525" s="28">
        <v>3456000</v>
      </c>
      <c r="K1525" s="488">
        <f t="shared" si="280"/>
        <v>151372.79999999999</v>
      </c>
      <c r="L1525" s="469">
        <v>3304627.2</v>
      </c>
      <c r="M1525" s="28">
        <v>3456000</v>
      </c>
      <c r="N1525" s="28">
        <v>3456000</v>
      </c>
    </row>
    <row r="1526" spans="1:14" s="20" customFormat="1" ht="18" customHeight="1">
      <c r="A1526" s="253"/>
      <c r="B1526" s="231"/>
      <c r="C1526" s="32" t="s">
        <v>47</v>
      </c>
      <c r="D1526" s="77">
        <v>22020410</v>
      </c>
      <c r="E1526" s="135" t="s">
        <v>942</v>
      </c>
      <c r="F1526" s="136">
        <v>3500000</v>
      </c>
      <c r="G1526" s="28">
        <v>3500000</v>
      </c>
      <c r="H1526" s="28"/>
      <c r="I1526" s="28"/>
      <c r="J1526" s="28">
        <v>3500000</v>
      </c>
      <c r="K1526" s="488">
        <f t="shared" si="280"/>
        <v>153300</v>
      </c>
      <c r="L1526" s="469">
        <v>3346700</v>
      </c>
      <c r="M1526" s="28">
        <v>3500000</v>
      </c>
      <c r="N1526" s="28">
        <v>3500000</v>
      </c>
    </row>
    <row r="1527" spans="1:14" s="20" customFormat="1" ht="18" customHeight="1">
      <c r="A1527" s="253"/>
      <c r="B1527" s="231"/>
      <c r="C1527" s="32" t="s">
        <v>47</v>
      </c>
      <c r="D1527" s="77">
        <v>22020416</v>
      </c>
      <c r="E1527" s="135" t="s">
        <v>782</v>
      </c>
      <c r="F1527" s="136">
        <v>3792000</v>
      </c>
      <c r="G1527" s="28">
        <v>3792000</v>
      </c>
      <c r="H1527" s="28"/>
      <c r="I1527" s="28"/>
      <c r="J1527" s="28">
        <v>3792000</v>
      </c>
      <c r="K1527" s="488">
        <f t="shared" si="280"/>
        <v>166089.60000000001</v>
      </c>
      <c r="L1527" s="469">
        <v>3625910.4000000004</v>
      </c>
      <c r="M1527" s="28">
        <v>3792000</v>
      </c>
      <c r="N1527" s="28">
        <v>3792000</v>
      </c>
    </row>
    <row r="1528" spans="1:14" s="20" customFormat="1" ht="18" customHeight="1">
      <c r="A1528" s="253"/>
      <c r="B1528" s="231"/>
      <c r="C1528" s="32" t="s">
        <v>47</v>
      </c>
      <c r="D1528" s="77">
        <v>22020417</v>
      </c>
      <c r="E1528" s="135" t="s">
        <v>997</v>
      </c>
      <c r="F1528" s="136">
        <v>878000</v>
      </c>
      <c r="G1528" s="28">
        <v>878000</v>
      </c>
      <c r="H1528" s="28"/>
      <c r="I1528" s="28"/>
      <c r="J1528" s="28">
        <v>878000</v>
      </c>
      <c r="K1528" s="488">
        <f t="shared" si="280"/>
        <v>38456.400000000001</v>
      </c>
      <c r="L1528" s="469">
        <v>839543.60000000009</v>
      </c>
      <c r="M1528" s="28">
        <v>878000</v>
      </c>
      <c r="N1528" s="28">
        <v>878000</v>
      </c>
    </row>
    <row r="1529" spans="1:14" s="20" customFormat="1" ht="18" customHeight="1">
      <c r="A1529" s="253"/>
      <c r="B1529" s="231"/>
      <c r="C1529" s="32" t="s">
        <v>47</v>
      </c>
      <c r="D1529" s="77">
        <v>22020601</v>
      </c>
      <c r="E1529" s="135" t="s">
        <v>766</v>
      </c>
      <c r="F1529" s="136">
        <v>2400000</v>
      </c>
      <c r="G1529" s="28">
        <v>2400000</v>
      </c>
      <c r="H1529" s="28"/>
      <c r="I1529" s="28"/>
      <c r="J1529" s="28">
        <v>2400000</v>
      </c>
      <c r="K1529" s="488">
        <f t="shared" si="280"/>
        <v>105120</v>
      </c>
      <c r="L1529" s="469">
        <v>2294880</v>
      </c>
      <c r="M1529" s="28">
        <v>2400000</v>
      </c>
      <c r="N1529" s="28">
        <v>2400000</v>
      </c>
    </row>
    <row r="1530" spans="1:14" s="20" customFormat="1" ht="18" customHeight="1">
      <c r="A1530" s="253"/>
      <c r="B1530" s="231"/>
      <c r="C1530" s="32" t="s">
        <v>47</v>
      </c>
      <c r="D1530" s="77">
        <v>22020702</v>
      </c>
      <c r="E1530" s="135" t="s">
        <v>964</v>
      </c>
      <c r="F1530" s="136">
        <v>7800000</v>
      </c>
      <c r="G1530" s="28">
        <v>7800000</v>
      </c>
      <c r="H1530" s="28"/>
      <c r="I1530" s="28"/>
      <c r="J1530" s="28">
        <v>7800000</v>
      </c>
      <c r="K1530" s="488">
        <f t="shared" si="280"/>
        <v>341640</v>
      </c>
      <c r="L1530" s="469">
        <v>7458360</v>
      </c>
      <c r="M1530" s="28">
        <v>7800000</v>
      </c>
      <c r="N1530" s="28">
        <v>7800000</v>
      </c>
    </row>
    <row r="1531" spans="1:14" s="20" customFormat="1" ht="18" customHeight="1">
      <c r="A1531" s="253"/>
      <c r="B1531" s="231"/>
      <c r="C1531" s="32" t="s">
        <v>47</v>
      </c>
      <c r="D1531" s="77">
        <v>22020703</v>
      </c>
      <c r="E1531" s="135" t="s">
        <v>770</v>
      </c>
      <c r="F1531" s="136">
        <v>200000</v>
      </c>
      <c r="G1531" s="28">
        <v>200000</v>
      </c>
      <c r="H1531" s="28"/>
      <c r="I1531" s="28"/>
      <c r="J1531" s="28">
        <v>200000</v>
      </c>
      <c r="K1531" s="488">
        <f t="shared" si="280"/>
        <v>8760</v>
      </c>
      <c r="L1531" s="469">
        <v>191240</v>
      </c>
      <c r="M1531" s="28">
        <v>200000</v>
      </c>
      <c r="N1531" s="28">
        <v>200000</v>
      </c>
    </row>
    <row r="1532" spans="1:14" s="20" customFormat="1" ht="18" customHeight="1">
      <c r="A1532" s="253"/>
      <c r="B1532" s="231"/>
      <c r="C1532" s="32" t="s">
        <v>47</v>
      </c>
      <c r="D1532" s="77">
        <v>22020704</v>
      </c>
      <c r="E1532" s="135" t="s">
        <v>937</v>
      </c>
      <c r="F1532" s="136">
        <v>200000</v>
      </c>
      <c r="G1532" s="28">
        <v>200000</v>
      </c>
      <c r="H1532" s="28"/>
      <c r="I1532" s="28"/>
      <c r="J1532" s="28">
        <v>200000</v>
      </c>
      <c r="K1532" s="488">
        <f t="shared" si="280"/>
        <v>8760</v>
      </c>
      <c r="L1532" s="469">
        <v>191240</v>
      </c>
      <c r="M1532" s="28">
        <v>200000</v>
      </c>
      <c r="N1532" s="28">
        <v>200000</v>
      </c>
    </row>
    <row r="1533" spans="1:14" s="20" customFormat="1" ht="18" customHeight="1">
      <c r="A1533" s="253"/>
      <c r="B1533" s="231"/>
      <c r="C1533" s="32" t="s">
        <v>47</v>
      </c>
      <c r="D1533" s="77">
        <v>22020705</v>
      </c>
      <c r="E1533" s="135" t="s">
        <v>938</v>
      </c>
      <c r="F1533" s="136">
        <v>200000</v>
      </c>
      <c r="G1533" s="28">
        <v>200000</v>
      </c>
      <c r="H1533" s="28"/>
      <c r="I1533" s="28"/>
      <c r="J1533" s="28">
        <v>200000</v>
      </c>
      <c r="K1533" s="488">
        <f t="shared" si="280"/>
        <v>8760</v>
      </c>
      <c r="L1533" s="469">
        <v>191240</v>
      </c>
      <c r="M1533" s="28">
        <v>200000</v>
      </c>
      <c r="N1533" s="28">
        <v>200000</v>
      </c>
    </row>
    <row r="1534" spans="1:14" s="20" customFormat="1" ht="18" customHeight="1">
      <c r="A1534" s="253"/>
      <c r="B1534" s="231"/>
      <c r="C1534" s="32" t="s">
        <v>47</v>
      </c>
      <c r="D1534" s="77">
        <v>22020709</v>
      </c>
      <c r="E1534" s="135" t="s">
        <v>771</v>
      </c>
      <c r="F1534" s="136">
        <v>2000000</v>
      </c>
      <c r="G1534" s="28">
        <v>2000000</v>
      </c>
      <c r="H1534" s="28"/>
      <c r="I1534" s="28"/>
      <c r="J1534" s="28">
        <v>2000000</v>
      </c>
      <c r="K1534" s="488">
        <f t="shared" si="280"/>
        <v>87600</v>
      </c>
      <c r="L1534" s="469">
        <v>1912400</v>
      </c>
      <c r="M1534" s="28">
        <v>2000000</v>
      </c>
      <c r="N1534" s="28">
        <v>2000000</v>
      </c>
    </row>
    <row r="1535" spans="1:14" s="20" customFormat="1" ht="18" customHeight="1">
      <c r="A1535" s="253"/>
      <c r="B1535" s="231"/>
      <c r="C1535" s="32" t="s">
        <v>47</v>
      </c>
      <c r="D1535" s="77">
        <v>22020711</v>
      </c>
      <c r="E1535" s="135" t="s">
        <v>998</v>
      </c>
      <c r="F1535" s="136">
        <v>108300000</v>
      </c>
      <c r="G1535" s="28">
        <v>108300000</v>
      </c>
      <c r="H1535" s="28"/>
      <c r="I1535" s="28"/>
      <c r="J1535" s="28">
        <v>108300000</v>
      </c>
      <c r="K1535" s="488">
        <f t="shared" si="280"/>
        <v>4743540</v>
      </c>
      <c r="L1535" s="469">
        <v>103556460</v>
      </c>
      <c r="M1535" s="28">
        <v>137590000</v>
      </c>
      <c r="N1535" s="28">
        <v>137590000</v>
      </c>
    </row>
    <row r="1536" spans="1:14" s="20" customFormat="1" ht="18" customHeight="1">
      <c r="A1536" s="253"/>
      <c r="B1536" s="231"/>
      <c r="C1536" s="32" t="s">
        <v>47</v>
      </c>
      <c r="D1536" s="77">
        <v>22020801</v>
      </c>
      <c r="E1536" s="135" t="s">
        <v>747</v>
      </c>
      <c r="F1536" s="136">
        <v>17575250</v>
      </c>
      <c r="G1536" s="28">
        <v>17575250</v>
      </c>
      <c r="H1536" s="28"/>
      <c r="I1536" s="28"/>
      <c r="J1536" s="28">
        <v>17575250</v>
      </c>
      <c r="K1536" s="488">
        <f t="shared" si="280"/>
        <v>769795.95</v>
      </c>
      <c r="L1536" s="469">
        <v>16805454.050000001</v>
      </c>
      <c r="M1536" s="28">
        <v>17575250</v>
      </c>
      <c r="N1536" s="28">
        <v>17575250</v>
      </c>
    </row>
    <row r="1537" spans="1:14" s="20" customFormat="1" ht="18" customHeight="1">
      <c r="A1537" s="253"/>
      <c r="B1537" s="231"/>
      <c r="C1537" s="32" t="s">
        <v>47</v>
      </c>
      <c r="D1537" s="77">
        <v>22020802</v>
      </c>
      <c r="E1537" s="135" t="s">
        <v>973</v>
      </c>
      <c r="F1537" s="136">
        <v>3600000</v>
      </c>
      <c r="G1537" s="28">
        <v>3600000</v>
      </c>
      <c r="H1537" s="28"/>
      <c r="I1537" s="28"/>
      <c r="J1537" s="28">
        <v>3600000</v>
      </c>
      <c r="K1537" s="488">
        <f t="shared" si="280"/>
        <v>157680</v>
      </c>
      <c r="L1537" s="469">
        <v>3442320</v>
      </c>
      <c r="M1537" s="28">
        <v>3600000</v>
      </c>
      <c r="N1537" s="28">
        <v>3600000</v>
      </c>
    </row>
    <row r="1538" spans="1:14" s="20" customFormat="1" ht="18" customHeight="1">
      <c r="A1538" s="253"/>
      <c r="B1538" s="231"/>
      <c r="C1538" s="32" t="s">
        <v>47</v>
      </c>
      <c r="D1538" s="77">
        <v>22020803</v>
      </c>
      <c r="E1538" s="135" t="s">
        <v>748</v>
      </c>
      <c r="F1538" s="136">
        <v>36000000</v>
      </c>
      <c r="G1538" s="28">
        <v>36000000</v>
      </c>
      <c r="H1538" s="28"/>
      <c r="I1538" s="28"/>
      <c r="J1538" s="28">
        <v>36000000</v>
      </c>
      <c r="K1538" s="488">
        <f t="shared" si="280"/>
        <v>1576800</v>
      </c>
      <c r="L1538" s="469">
        <v>34423200</v>
      </c>
      <c r="M1538" s="28">
        <v>36000000</v>
      </c>
      <c r="N1538" s="28">
        <v>36000000</v>
      </c>
    </row>
    <row r="1539" spans="1:14" s="20" customFormat="1" ht="18" customHeight="1">
      <c r="A1539" s="253"/>
      <c r="B1539" s="231"/>
      <c r="C1539" s="32" t="s">
        <v>47</v>
      </c>
      <c r="D1539" s="77">
        <v>22020905</v>
      </c>
      <c r="E1539" s="135" t="s">
        <v>999</v>
      </c>
      <c r="F1539" s="136">
        <v>30000000</v>
      </c>
      <c r="G1539" s="28">
        <v>30000000</v>
      </c>
      <c r="H1539" s="28"/>
      <c r="I1539" s="28"/>
      <c r="J1539" s="28">
        <v>30000000</v>
      </c>
      <c r="K1539" s="488">
        <f t="shared" si="280"/>
        <v>1314000</v>
      </c>
      <c r="L1539" s="469">
        <v>28686000</v>
      </c>
      <c r="M1539" s="28">
        <v>30000000</v>
      </c>
      <c r="N1539" s="28">
        <v>30000000</v>
      </c>
    </row>
    <row r="1540" spans="1:14" s="20" customFormat="1" ht="18" customHeight="1">
      <c r="A1540" s="253"/>
      <c r="B1540" s="231"/>
      <c r="C1540" s="32" t="s">
        <v>47</v>
      </c>
      <c r="D1540" s="77">
        <v>22021001</v>
      </c>
      <c r="E1540" s="135" t="s">
        <v>772</v>
      </c>
      <c r="F1540" s="136">
        <v>6200000</v>
      </c>
      <c r="G1540" s="28">
        <v>6200000</v>
      </c>
      <c r="H1540" s="28"/>
      <c r="I1540" s="28"/>
      <c r="J1540" s="28">
        <v>6200000</v>
      </c>
      <c r="K1540" s="488">
        <f t="shared" si="280"/>
        <v>271560</v>
      </c>
      <c r="L1540" s="469">
        <v>5928440</v>
      </c>
      <c r="M1540" s="28">
        <v>6231500</v>
      </c>
      <c r="N1540" s="28">
        <v>6231500</v>
      </c>
    </row>
    <row r="1541" spans="1:14" s="20" customFormat="1" ht="18" customHeight="1">
      <c r="A1541" s="253"/>
      <c r="B1541" s="231"/>
      <c r="C1541" s="32" t="s">
        <v>47</v>
      </c>
      <c r="D1541" s="77">
        <v>22021002</v>
      </c>
      <c r="E1541" s="135" t="s">
        <v>805</v>
      </c>
      <c r="F1541" s="136">
        <v>11070000</v>
      </c>
      <c r="G1541" s="28">
        <v>11070000</v>
      </c>
      <c r="H1541" s="28"/>
      <c r="I1541" s="28"/>
      <c r="J1541" s="28">
        <v>11070000</v>
      </c>
      <c r="K1541" s="488">
        <f t="shared" si="280"/>
        <v>484866</v>
      </c>
      <c r="L1541" s="469">
        <v>10585134</v>
      </c>
      <c r="M1541" s="28">
        <v>11070000</v>
      </c>
      <c r="N1541" s="28">
        <v>11070000</v>
      </c>
    </row>
    <row r="1542" spans="1:14" s="20" customFormat="1" ht="18" customHeight="1">
      <c r="A1542" s="253"/>
      <c r="B1542" s="231"/>
      <c r="C1542" s="32" t="s">
        <v>47</v>
      </c>
      <c r="D1542" s="77">
        <v>22021003</v>
      </c>
      <c r="E1542" s="135" t="s">
        <v>760</v>
      </c>
      <c r="F1542" s="136">
        <v>5120000</v>
      </c>
      <c r="G1542" s="28">
        <v>5120000</v>
      </c>
      <c r="H1542" s="28"/>
      <c r="I1542" s="28"/>
      <c r="J1542" s="28">
        <v>5120000</v>
      </c>
      <c r="K1542" s="488">
        <f t="shared" si="280"/>
        <v>224256</v>
      </c>
      <c r="L1542" s="469">
        <v>4895744</v>
      </c>
      <c r="M1542" s="28">
        <v>5120000</v>
      </c>
      <c r="N1542" s="28">
        <v>5120000</v>
      </c>
    </row>
    <row r="1543" spans="1:14" s="20" customFormat="1" ht="18" customHeight="1">
      <c r="A1543" s="253"/>
      <c r="B1543" s="231"/>
      <c r="C1543" s="32" t="s">
        <v>47</v>
      </c>
      <c r="D1543" s="77">
        <v>22021009</v>
      </c>
      <c r="E1543" s="135" t="s">
        <v>873</v>
      </c>
      <c r="F1543" s="136">
        <v>19420000</v>
      </c>
      <c r="G1543" s="28">
        <v>19420000</v>
      </c>
      <c r="H1543" s="28"/>
      <c r="I1543" s="28"/>
      <c r="J1543" s="28">
        <v>19420000</v>
      </c>
      <c r="K1543" s="488">
        <f t="shared" si="280"/>
        <v>850596</v>
      </c>
      <c r="L1543" s="469">
        <v>18569404</v>
      </c>
      <c r="M1543" s="28">
        <v>16947500</v>
      </c>
      <c r="N1543" s="28">
        <v>16947500</v>
      </c>
    </row>
    <row r="1544" spans="1:14" s="20" customFormat="1" ht="18" customHeight="1">
      <c r="A1544" s="253"/>
      <c r="B1544" s="231"/>
      <c r="C1544" s="32" t="s">
        <v>47</v>
      </c>
      <c r="D1544" s="77">
        <v>22021026</v>
      </c>
      <c r="E1544" s="135" t="s">
        <v>751</v>
      </c>
      <c r="F1544" s="136">
        <v>500000</v>
      </c>
      <c r="G1544" s="28">
        <v>500000</v>
      </c>
      <c r="H1544" s="28"/>
      <c r="I1544" s="28"/>
      <c r="J1544" s="28">
        <v>500000</v>
      </c>
      <c r="K1544" s="488">
        <f t="shared" si="280"/>
        <v>21900</v>
      </c>
      <c r="L1544" s="469">
        <v>478100</v>
      </c>
      <c r="M1544" s="28">
        <v>500000</v>
      </c>
      <c r="N1544" s="28">
        <v>500000</v>
      </c>
    </row>
    <row r="1545" spans="1:14" s="20" customFormat="1" ht="18" customHeight="1">
      <c r="A1545" s="238"/>
      <c r="B1545" s="231"/>
      <c r="C1545" s="30" t="s">
        <v>1837</v>
      </c>
      <c r="D1545" s="23"/>
      <c r="E1545" s="25"/>
      <c r="F1545" s="137">
        <f>SUM(F1504:F1544)</f>
        <v>458073609.12199998</v>
      </c>
      <c r="G1545" s="114">
        <f>SUM(G1504:G1544)</f>
        <v>458073609.12199998</v>
      </c>
      <c r="H1545" s="114">
        <f t="shared" ref="H1545:M1545" si="281">SUM(H1504:H1544)</f>
        <v>0</v>
      </c>
      <c r="I1545" s="114">
        <f t="shared" si="281"/>
        <v>0</v>
      </c>
      <c r="J1545" s="114">
        <f>SUM(J1504:J1544)</f>
        <v>458073609.12199998</v>
      </c>
      <c r="K1545" s="490">
        <f t="shared" si="280"/>
        <v>20063624.079543598</v>
      </c>
      <c r="L1545" s="468">
        <f>SUM(L1504:L1544)</f>
        <v>438009985.04245639</v>
      </c>
      <c r="M1545" s="114">
        <f t="shared" si="281"/>
        <v>516125609.12199998</v>
      </c>
      <c r="N1545" s="114">
        <f>SUM(N1504:N1544)</f>
        <v>516125609.12199998</v>
      </c>
    </row>
    <row r="1546" spans="1:14" s="66" customFormat="1" ht="15" customHeight="1">
      <c r="A1546" s="238" t="s">
        <v>996</v>
      </c>
      <c r="B1546" s="231" t="s">
        <v>1804</v>
      </c>
      <c r="C1546" s="30"/>
      <c r="D1546" s="23"/>
      <c r="E1546" s="25"/>
      <c r="F1546" s="137">
        <f>F1545+F1503</f>
        <v>1837908092.9619997</v>
      </c>
      <c r="G1546" s="114">
        <f>G1545+G1503</f>
        <v>1837908092.9619997</v>
      </c>
      <c r="H1546" s="114">
        <f t="shared" ref="H1546:M1546" si="282">H1545+H1503</f>
        <v>0</v>
      </c>
      <c r="I1546" s="114">
        <f t="shared" si="282"/>
        <v>0</v>
      </c>
      <c r="J1546" s="114">
        <f>J1545+J1503</f>
        <v>1837908092.9619997</v>
      </c>
      <c r="K1546" s="490"/>
      <c r="L1546" s="468">
        <f>L1545+L1503</f>
        <v>1817844468.8824561</v>
      </c>
      <c r="M1546" s="114">
        <f t="shared" si="282"/>
        <v>2033943541.3459997</v>
      </c>
      <c r="N1546" s="114">
        <f>N1545+N1503</f>
        <v>2185725334.5683994</v>
      </c>
    </row>
    <row r="1547" spans="1:14" s="20" customFormat="1" ht="21">
      <c r="A1547" s="252"/>
      <c r="B1547" s="443"/>
      <c r="C1547" s="228"/>
      <c r="D1547" s="229"/>
      <c r="E1547" s="230"/>
      <c r="F1547" s="215"/>
      <c r="G1547" s="296"/>
      <c r="H1547" s="296"/>
      <c r="I1547" s="296"/>
      <c r="J1547" s="28"/>
      <c r="K1547" s="488"/>
      <c r="L1547" s="468"/>
      <c r="M1547" s="296"/>
      <c r="N1547" s="296"/>
    </row>
    <row r="1548" spans="1:14" s="20" customFormat="1">
      <c r="A1548" s="238" t="s">
        <v>1001</v>
      </c>
      <c r="B1548" s="231" t="s">
        <v>1002</v>
      </c>
      <c r="C1548" s="32" t="s">
        <v>46</v>
      </c>
      <c r="D1548" s="77">
        <v>21010101</v>
      </c>
      <c r="E1548" s="135" t="s">
        <v>725</v>
      </c>
      <c r="F1548" s="136">
        <v>1301965153.5600002</v>
      </c>
      <c r="G1548" s="28">
        <v>1301965153.5600002</v>
      </c>
      <c r="H1548" s="28">
        <v>162460224</v>
      </c>
      <c r="I1548" s="28"/>
      <c r="J1548" s="28">
        <v>1464425377.5600002</v>
      </c>
      <c r="K1548" s="488"/>
      <c r="L1548" s="467">
        <v>1464425377.5600002</v>
      </c>
      <c r="M1548" s="28">
        <f>G1548*10%+G1548</f>
        <v>1432161668.9160001</v>
      </c>
      <c r="N1548" s="28">
        <f>M1548*10%+M1548</f>
        <v>1575377835.8076</v>
      </c>
    </row>
    <row r="1549" spans="1:14" s="20" customFormat="1">
      <c r="A1549" s="238"/>
      <c r="B1549" s="231"/>
      <c r="C1549" s="30" t="s">
        <v>1836</v>
      </c>
      <c r="D1549" s="23"/>
      <c r="E1549" s="25"/>
      <c r="F1549" s="137">
        <f>SUM(F1548)</f>
        <v>1301965153.5600002</v>
      </c>
      <c r="G1549" s="114">
        <f>SUM(G1548)</f>
        <v>1301965153.5600002</v>
      </c>
      <c r="H1549" s="114">
        <f t="shared" ref="H1549:M1549" si="283">SUM(H1548)</f>
        <v>162460224</v>
      </c>
      <c r="I1549" s="114">
        <f t="shared" si="283"/>
        <v>0</v>
      </c>
      <c r="J1549" s="114">
        <f>SUM(J1548)</f>
        <v>1464425377.5600002</v>
      </c>
      <c r="K1549" s="490"/>
      <c r="L1549" s="468">
        <f>SUM(L1548)</f>
        <v>1464425377.5600002</v>
      </c>
      <c r="M1549" s="114">
        <f t="shared" si="283"/>
        <v>1432161668.9160001</v>
      </c>
      <c r="N1549" s="114">
        <f>SUM(N1548)</f>
        <v>1575377835.8076</v>
      </c>
    </row>
    <row r="1550" spans="1:14" s="20" customFormat="1">
      <c r="A1550" s="253"/>
      <c r="B1550" s="231"/>
      <c r="C1550" s="32" t="s">
        <v>47</v>
      </c>
      <c r="D1550" s="77">
        <v>22020101</v>
      </c>
      <c r="E1550" s="135" t="s">
        <v>841</v>
      </c>
      <c r="F1550" s="136">
        <f>1750000+10117000</f>
        <v>11867000</v>
      </c>
      <c r="G1550" s="28">
        <v>9413000</v>
      </c>
      <c r="H1550" s="28"/>
      <c r="I1550" s="28"/>
      <c r="J1550" s="28">
        <v>9413000</v>
      </c>
      <c r="K1550" s="488">
        <f>J1550*4.38%</f>
        <v>412289.39999999997</v>
      </c>
      <c r="L1550" s="469">
        <v>9000710.5999999996</v>
      </c>
      <c r="M1550" s="28">
        <v>3500000</v>
      </c>
      <c r="N1550" s="28">
        <v>8750000</v>
      </c>
    </row>
    <row r="1551" spans="1:14" s="20" customFormat="1">
      <c r="A1551" s="253"/>
      <c r="B1551" s="231"/>
      <c r="C1551" s="32" t="s">
        <v>47</v>
      </c>
      <c r="D1551" s="77">
        <v>22020103</v>
      </c>
      <c r="E1551" s="135" t="s">
        <v>1003</v>
      </c>
      <c r="F1551" s="136">
        <v>1500000</v>
      </c>
      <c r="G1551" s="28">
        <v>1500000</v>
      </c>
      <c r="H1551" s="28"/>
      <c r="I1551" s="28"/>
      <c r="J1551" s="28">
        <v>1500000</v>
      </c>
      <c r="K1551" s="488">
        <f t="shared" ref="K1551:K1612" si="284">J1551*4.38%</f>
        <v>65700</v>
      </c>
      <c r="L1551" s="469">
        <v>1434300</v>
      </c>
      <c r="M1551" s="28">
        <v>3000000</v>
      </c>
      <c r="N1551" s="28">
        <v>7500000</v>
      </c>
    </row>
    <row r="1552" spans="1:14" s="20" customFormat="1">
      <c r="A1552" s="253"/>
      <c r="B1552" s="231"/>
      <c r="C1552" s="32" t="s">
        <v>47</v>
      </c>
      <c r="D1552" s="77">
        <v>22020105</v>
      </c>
      <c r="E1552" s="135" t="s">
        <v>1733</v>
      </c>
      <c r="F1552" s="136">
        <v>18984000</v>
      </c>
      <c r="G1552" s="28">
        <v>10000000</v>
      </c>
      <c r="H1552" s="28"/>
      <c r="I1552" s="28"/>
      <c r="J1552" s="28">
        <v>10000000</v>
      </c>
      <c r="K1552" s="488">
        <f t="shared" si="284"/>
        <v>438000</v>
      </c>
      <c r="L1552" s="469">
        <v>9562000</v>
      </c>
      <c r="M1552" s="28">
        <v>28824000</v>
      </c>
      <c r="N1552" s="28">
        <v>28824000</v>
      </c>
    </row>
    <row r="1553" spans="1:14" s="20" customFormat="1">
      <c r="A1553" s="253"/>
      <c r="B1553" s="231"/>
      <c r="C1553" s="32" t="s">
        <v>47</v>
      </c>
      <c r="D1553" s="77">
        <v>22020201</v>
      </c>
      <c r="E1553" s="135" t="s">
        <v>849</v>
      </c>
      <c r="F1553" s="136">
        <v>5873400</v>
      </c>
      <c r="G1553" s="28">
        <v>5873400</v>
      </c>
      <c r="H1553" s="28"/>
      <c r="I1553" s="28"/>
      <c r="J1553" s="28">
        <v>5873400</v>
      </c>
      <c r="K1553" s="488">
        <f t="shared" si="284"/>
        <v>257254.91999999998</v>
      </c>
      <c r="L1553" s="469">
        <v>5616145.0800000001</v>
      </c>
      <c r="M1553" s="28">
        <v>5873400</v>
      </c>
      <c r="N1553" s="28">
        <v>5873400</v>
      </c>
    </row>
    <row r="1554" spans="1:14" s="20" customFormat="1">
      <c r="A1554" s="253"/>
      <c r="B1554" s="231"/>
      <c r="C1554" s="32" t="s">
        <v>47</v>
      </c>
      <c r="D1554" s="77">
        <v>22020203</v>
      </c>
      <c r="E1554" s="135" t="s">
        <v>779</v>
      </c>
      <c r="F1554" s="136">
        <v>3400000</v>
      </c>
      <c r="G1554" s="28">
        <v>3400000</v>
      </c>
      <c r="H1554" s="28"/>
      <c r="I1554" s="28"/>
      <c r="J1554" s="28">
        <v>3400000</v>
      </c>
      <c r="K1554" s="488">
        <f t="shared" si="284"/>
        <v>148920</v>
      </c>
      <c r="L1554" s="469">
        <v>3251080</v>
      </c>
      <c r="M1554" s="28">
        <v>3400000</v>
      </c>
      <c r="N1554" s="28">
        <v>3400000</v>
      </c>
    </row>
    <row r="1555" spans="1:14" s="20" customFormat="1">
      <c r="A1555" s="253"/>
      <c r="B1555" s="231"/>
      <c r="C1555" s="32" t="s">
        <v>47</v>
      </c>
      <c r="D1555" s="77">
        <v>22020204</v>
      </c>
      <c r="E1555" s="135" t="s">
        <v>780</v>
      </c>
      <c r="F1555" s="136">
        <v>1200000</v>
      </c>
      <c r="G1555" s="28">
        <v>1200000</v>
      </c>
      <c r="H1555" s="28"/>
      <c r="I1555" s="28"/>
      <c r="J1555" s="28">
        <v>1200000</v>
      </c>
      <c r="K1555" s="488">
        <f t="shared" si="284"/>
        <v>52560</v>
      </c>
      <c r="L1555" s="469">
        <v>1147440</v>
      </c>
      <c r="M1555" s="28">
        <v>1200000</v>
      </c>
      <c r="N1555" s="28">
        <v>1200000</v>
      </c>
    </row>
    <row r="1556" spans="1:14" s="20" customFormat="1">
      <c r="A1556" s="253"/>
      <c r="B1556" s="231"/>
      <c r="C1556" s="32" t="s">
        <v>47</v>
      </c>
      <c r="D1556" s="77">
        <v>22020205</v>
      </c>
      <c r="E1556" s="135" t="s">
        <v>850</v>
      </c>
      <c r="F1556" s="136">
        <v>900000</v>
      </c>
      <c r="G1556" s="28">
        <v>900000</v>
      </c>
      <c r="H1556" s="28"/>
      <c r="I1556" s="28"/>
      <c r="J1556" s="28">
        <v>900000</v>
      </c>
      <c r="K1556" s="488">
        <f t="shared" si="284"/>
        <v>39420</v>
      </c>
      <c r="L1556" s="469">
        <v>860580</v>
      </c>
      <c r="M1556" s="28">
        <v>900000</v>
      </c>
      <c r="N1556" s="28">
        <v>900000</v>
      </c>
    </row>
    <row r="1557" spans="1:14" s="20" customFormat="1">
      <c r="A1557" s="253"/>
      <c r="B1557" s="231"/>
      <c r="C1557" s="32" t="s">
        <v>47</v>
      </c>
      <c r="D1557" s="77">
        <v>22020209</v>
      </c>
      <c r="E1557" s="135" t="s">
        <v>750</v>
      </c>
      <c r="F1557" s="136">
        <v>174000</v>
      </c>
      <c r="G1557" s="28">
        <v>174000</v>
      </c>
      <c r="H1557" s="28"/>
      <c r="I1557" s="28"/>
      <c r="J1557" s="28">
        <v>174000</v>
      </c>
      <c r="K1557" s="488">
        <f t="shared" si="284"/>
        <v>7621.2</v>
      </c>
      <c r="L1557" s="469">
        <v>166378.80000000002</v>
      </c>
      <c r="M1557" s="28">
        <v>174000</v>
      </c>
      <c r="N1557" s="28">
        <v>309000</v>
      </c>
    </row>
    <row r="1558" spans="1:14" s="20" customFormat="1">
      <c r="A1558" s="253"/>
      <c r="B1558" s="231"/>
      <c r="C1558" s="32" t="s">
        <v>47</v>
      </c>
      <c r="D1558" s="77">
        <v>22020301</v>
      </c>
      <c r="E1558" s="135" t="s">
        <v>737</v>
      </c>
      <c r="F1558" s="136">
        <v>8836200</v>
      </c>
      <c r="G1558" s="28">
        <v>8836200</v>
      </c>
      <c r="H1558" s="28"/>
      <c r="I1558" s="28"/>
      <c r="J1558" s="28">
        <v>8836200</v>
      </c>
      <c r="K1558" s="488">
        <f t="shared" si="284"/>
        <v>387025.56</v>
      </c>
      <c r="L1558" s="469">
        <v>8449174.4400000013</v>
      </c>
      <c r="M1558" s="28">
        <v>10150200</v>
      </c>
      <c r="N1558" s="28">
        <v>10228200</v>
      </c>
    </row>
    <row r="1559" spans="1:14" s="20" customFormat="1">
      <c r="A1559" s="253"/>
      <c r="B1559" s="231"/>
      <c r="C1559" s="32" t="s">
        <v>47</v>
      </c>
      <c r="D1559" s="77">
        <v>22020302</v>
      </c>
      <c r="E1559" s="135" t="s">
        <v>872</v>
      </c>
      <c r="F1559" s="136">
        <v>3700000</v>
      </c>
      <c r="G1559" s="28">
        <v>3700000</v>
      </c>
      <c r="H1559" s="28"/>
      <c r="I1559" s="28"/>
      <c r="J1559" s="28">
        <v>3700000</v>
      </c>
      <c r="K1559" s="488">
        <f t="shared" si="284"/>
        <v>162060</v>
      </c>
      <c r="L1559" s="469">
        <v>3537940</v>
      </c>
      <c r="M1559" s="28">
        <v>3700000</v>
      </c>
      <c r="N1559" s="28">
        <v>3700000</v>
      </c>
    </row>
    <row r="1560" spans="1:14" s="20" customFormat="1">
      <c r="A1560" s="253"/>
      <c r="B1560" s="231"/>
      <c r="C1560" s="32" t="s">
        <v>47</v>
      </c>
      <c r="D1560" s="77">
        <v>22020303</v>
      </c>
      <c r="E1560" s="135" t="s">
        <v>738</v>
      </c>
      <c r="F1560" s="136">
        <v>840000</v>
      </c>
      <c r="G1560" s="28">
        <v>840000</v>
      </c>
      <c r="H1560" s="28"/>
      <c r="I1560" s="28"/>
      <c r="J1560" s="28">
        <v>840000</v>
      </c>
      <c r="K1560" s="488">
        <f t="shared" si="284"/>
        <v>36792</v>
      </c>
      <c r="L1560" s="469">
        <v>803208</v>
      </c>
      <c r="M1560" s="28">
        <v>840000</v>
      </c>
      <c r="N1560" s="28">
        <v>840000</v>
      </c>
    </row>
    <row r="1561" spans="1:14" s="20" customFormat="1">
      <c r="A1561" s="253"/>
      <c r="B1561" s="231"/>
      <c r="C1561" s="32" t="s">
        <v>47</v>
      </c>
      <c r="D1561" s="77">
        <v>22020305</v>
      </c>
      <c r="E1561" s="135" t="s">
        <v>755</v>
      </c>
      <c r="F1561" s="136">
        <v>12200000</v>
      </c>
      <c r="G1561" s="28">
        <v>12200000</v>
      </c>
      <c r="H1561" s="28"/>
      <c r="I1561" s="28"/>
      <c r="J1561" s="28">
        <v>12200000</v>
      </c>
      <c r="K1561" s="488">
        <f t="shared" si="284"/>
        <v>534360</v>
      </c>
      <c r="L1561" s="469">
        <v>11665640</v>
      </c>
      <c r="M1561" s="28">
        <v>15241000</v>
      </c>
      <c r="N1561" s="28">
        <v>16151750</v>
      </c>
    </row>
    <row r="1562" spans="1:14" s="20" customFormat="1">
      <c r="A1562" s="253"/>
      <c r="B1562" s="231"/>
      <c r="C1562" s="32" t="s">
        <v>47</v>
      </c>
      <c r="D1562" s="77">
        <v>22020306</v>
      </c>
      <c r="E1562" s="135" t="s">
        <v>765</v>
      </c>
      <c r="F1562" s="136">
        <v>1740000</v>
      </c>
      <c r="G1562" s="28">
        <v>1740000</v>
      </c>
      <c r="H1562" s="28"/>
      <c r="I1562" s="28"/>
      <c r="J1562" s="28">
        <v>1740000</v>
      </c>
      <c r="K1562" s="488">
        <f t="shared" si="284"/>
        <v>76212</v>
      </c>
      <c r="L1562" s="469">
        <v>1663788</v>
      </c>
      <c r="M1562" s="28">
        <v>1740000</v>
      </c>
      <c r="N1562" s="28">
        <v>1740000</v>
      </c>
    </row>
    <row r="1563" spans="1:14" s="20" customFormat="1">
      <c r="A1563" s="253"/>
      <c r="B1563" s="231"/>
      <c r="C1563" s="32" t="s">
        <v>47</v>
      </c>
      <c r="D1563" s="77">
        <v>22020307</v>
      </c>
      <c r="E1563" s="135" t="s">
        <v>822</v>
      </c>
      <c r="F1563" s="136">
        <v>5280000</v>
      </c>
      <c r="G1563" s="28">
        <v>5280000</v>
      </c>
      <c r="H1563" s="28"/>
      <c r="I1563" s="28"/>
      <c r="J1563" s="28">
        <v>5280000</v>
      </c>
      <c r="K1563" s="488">
        <f t="shared" si="284"/>
        <v>231264</v>
      </c>
      <c r="L1563" s="469">
        <v>5048736</v>
      </c>
      <c r="M1563" s="28">
        <v>5280000</v>
      </c>
      <c r="N1563" s="28">
        <v>5280000</v>
      </c>
    </row>
    <row r="1564" spans="1:14" s="20" customFormat="1">
      <c r="A1564" s="253"/>
      <c r="B1564" s="231"/>
      <c r="C1564" s="32" t="s">
        <v>47</v>
      </c>
      <c r="D1564" s="77">
        <v>22020308</v>
      </c>
      <c r="E1564" s="135" t="s">
        <v>756</v>
      </c>
      <c r="F1564" s="136">
        <v>2856250</v>
      </c>
      <c r="G1564" s="28">
        <v>2856250</v>
      </c>
      <c r="H1564" s="28"/>
      <c r="I1564" s="28"/>
      <c r="J1564" s="28">
        <v>2856250</v>
      </c>
      <c r="K1564" s="488">
        <f t="shared" si="284"/>
        <v>125103.75</v>
      </c>
      <c r="L1564" s="469">
        <v>2731146.25</v>
      </c>
      <c r="M1564" s="28">
        <v>2611250</v>
      </c>
      <c r="N1564" s="28">
        <v>2611250</v>
      </c>
    </row>
    <row r="1565" spans="1:14" s="20" customFormat="1">
      <c r="A1565" s="253"/>
      <c r="B1565" s="231"/>
      <c r="C1565" s="32" t="s">
        <v>47</v>
      </c>
      <c r="D1565" s="77">
        <v>22020309</v>
      </c>
      <c r="E1565" s="135" t="s">
        <v>739</v>
      </c>
      <c r="F1565" s="136">
        <v>9202500</v>
      </c>
      <c r="G1565" s="28">
        <v>9202500</v>
      </c>
      <c r="H1565" s="28"/>
      <c r="I1565" s="28"/>
      <c r="J1565" s="28">
        <v>9202500</v>
      </c>
      <c r="K1565" s="488">
        <f t="shared" si="284"/>
        <v>403069.5</v>
      </c>
      <c r="L1565" s="469">
        <v>8799430.5</v>
      </c>
      <c r="M1565" s="28">
        <v>8700000</v>
      </c>
      <c r="N1565" s="28">
        <v>8700000</v>
      </c>
    </row>
    <row r="1566" spans="1:14" s="20" customFormat="1">
      <c r="A1566" s="253"/>
      <c r="B1566" s="231"/>
      <c r="C1566" s="32" t="s">
        <v>47</v>
      </c>
      <c r="D1566" s="77">
        <v>22020310</v>
      </c>
      <c r="E1566" s="135" t="s">
        <v>819</v>
      </c>
      <c r="F1566" s="136">
        <v>10000000</v>
      </c>
      <c r="G1566" s="28">
        <v>10000000</v>
      </c>
      <c r="H1566" s="28"/>
      <c r="I1566" s="28"/>
      <c r="J1566" s="28">
        <v>10000000</v>
      </c>
      <c r="K1566" s="488">
        <f t="shared" si="284"/>
        <v>438000</v>
      </c>
      <c r="L1566" s="469">
        <v>9562000</v>
      </c>
      <c r="M1566" s="28">
        <v>30260000</v>
      </c>
      <c r="N1566" s="28">
        <v>30260000</v>
      </c>
    </row>
    <row r="1567" spans="1:14" s="20" customFormat="1">
      <c r="A1567" s="253"/>
      <c r="B1567" s="231"/>
      <c r="C1567" s="32" t="s">
        <v>47</v>
      </c>
      <c r="D1567" s="77">
        <v>22020312</v>
      </c>
      <c r="E1567" s="135" t="s">
        <v>797</v>
      </c>
      <c r="F1567" s="136">
        <v>336000</v>
      </c>
      <c r="G1567" s="28">
        <v>336000</v>
      </c>
      <c r="H1567" s="28"/>
      <c r="I1567" s="28"/>
      <c r="J1567" s="28">
        <v>336000</v>
      </c>
      <c r="K1567" s="488">
        <f t="shared" si="284"/>
        <v>14716.8</v>
      </c>
      <c r="L1567" s="469">
        <v>321283.20000000001</v>
      </c>
      <c r="M1567" s="28">
        <v>336000</v>
      </c>
      <c r="N1567" s="28">
        <v>336000</v>
      </c>
    </row>
    <row r="1568" spans="1:14" s="20" customFormat="1">
      <c r="A1568" s="253"/>
      <c r="B1568" s="231"/>
      <c r="C1568" s="32" t="s">
        <v>47</v>
      </c>
      <c r="D1568" s="77">
        <v>22020315</v>
      </c>
      <c r="E1568" s="135" t="s">
        <v>740</v>
      </c>
      <c r="F1568" s="136">
        <v>9000000</v>
      </c>
      <c r="G1568" s="28">
        <v>9000000</v>
      </c>
      <c r="H1568" s="28"/>
      <c r="I1568" s="28"/>
      <c r="J1568" s="28">
        <v>9000000</v>
      </c>
      <c r="K1568" s="488">
        <f t="shared" si="284"/>
        <v>394200</v>
      </c>
      <c r="L1568" s="469">
        <v>8605800</v>
      </c>
      <c r="M1568" s="28">
        <v>18275000</v>
      </c>
      <c r="N1568" s="28">
        <v>18635000</v>
      </c>
    </row>
    <row r="1569" spans="1:14" s="20" customFormat="1">
      <c r="A1569" s="253"/>
      <c r="B1569" s="231"/>
      <c r="C1569" s="32" t="s">
        <v>47</v>
      </c>
      <c r="D1569" s="77">
        <v>22020401</v>
      </c>
      <c r="E1569" s="135" t="s">
        <v>741</v>
      </c>
      <c r="F1569" s="136">
        <v>5310000</v>
      </c>
      <c r="G1569" s="28">
        <v>5310000</v>
      </c>
      <c r="H1569" s="28"/>
      <c r="I1569" s="28"/>
      <c r="J1569" s="28">
        <v>5310000</v>
      </c>
      <c r="K1569" s="488">
        <f t="shared" si="284"/>
        <v>232578</v>
      </c>
      <c r="L1569" s="469">
        <v>5077422</v>
      </c>
      <c r="M1569" s="28">
        <v>5310000</v>
      </c>
      <c r="N1569" s="28">
        <v>5310000</v>
      </c>
    </row>
    <row r="1570" spans="1:14" s="20" customFormat="1">
      <c r="A1570" s="253"/>
      <c r="B1570" s="231"/>
      <c r="C1570" s="32" t="s">
        <v>47</v>
      </c>
      <c r="D1570" s="77">
        <v>22020402</v>
      </c>
      <c r="E1570" s="135" t="s">
        <v>757</v>
      </c>
      <c r="F1570" s="136">
        <v>1608000</v>
      </c>
      <c r="G1570" s="28">
        <v>1608000</v>
      </c>
      <c r="H1570" s="28"/>
      <c r="I1570" s="28"/>
      <c r="J1570" s="28">
        <v>1608000</v>
      </c>
      <c r="K1570" s="488">
        <f t="shared" si="284"/>
        <v>70430.399999999994</v>
      </c>
      <c r="L1570" s="469">
        <v>1537569.6</v>
      </c>
      <c r="M1570" s="28">
        <v>1608000</v>
      </c>
      <c r="N1570" s="28">
        <v>1608000</v>
      </c>
    </row>
    <row r="1571" spans="1:14" s="20" customFormat="1">
      <c r="A1571" s="253"/>
      <c r="B1571" s="231"/>
      <c r="C1571" s="32" t="s">
        <v>47</v>
      </c>
      <c r="D1571" s="77">
        <v>22020403</v>
      </c>
      <c r="E1571" s="135" t="s">
        <v>781</v>
      </c>
      <c r="F1571" s="136">
        <v>3040000</v>
      </c>
      <c r="G1571" s="28">
        <v>3040000</v>
      </c>
      <c r="H1571" s="28"/>
      <c r="I1571" s="28"/>
      <c r="J1571" s="28">
        <v>3040000</v>
      </c>
      <c r="K1571" s="488">
        <f t="shared" si="284"/>
        <v>133152</v>
      </c>
      <c r="L1571" s="469">
        <v>2906848</v>
      </c>
      <c r="M1571" s="28">
        <v>6400000</v>
      </c>
      <c r="N1571" s="28">
        <v>6400000</v>
      </c>
    </row>
    <row r="1572" spans="1:14" s="20" customFormat="1">
      <c r="A1572" s="253"/>
      <c r="B1572" s="231"/>
      <c r="C1572" s="32" t="s">
        <v>47</v>
      </c>
      <c r="D1572" s="77">
        <v>22020404</v>
      </c>
      <c r="E1572" s="135" t="s">
        <v>742</v>
      </c>
      <c r="F1572" s="136">
        <v>4000000</v>
      </c>
      <c r="G1572" s="28">
        <v>4000000</v>
      </c>
      <c r="H1572" s="28"/>
      <c r="I1572" s="28"/>
      <c r="J1572" s="28">
        <v>4000000</v>
      </c>
      <c r="K1572" s="488">
        <f t="shared" si="284"/>
        <v>175200</v>
      </c>
      <c r="L1572" s="469">
        <v>3824800</v>
      </c>
      <c r="M1572" s="28">
        <v>0</v>
      </c>
      <c r="N1572" s="28">
        <v>0</v>
      </c>
    </row>
    <row r="1573" spans="1:14" s="20" customFormat="1">
      <c r="A1573" s="253"/>
      <c r="B1573" s="231"/>
      <c r="C1573" s="32" t="s">
        <v>47</v>
      </c>
      <c r="D1573" s="77">
        <v>22020405</v>
      </c>
      <c r="E1573" s="135" t="s">
        <v>743</v>
      </c>
      <c r="F1573" s="136">
        <v>6600000</v>
      </c>
      <c r="G1573" s="28">
        <v>6600000</v>
      </c>
      <c r="H1573" s="28"/>
      <c r="I1573" s="28"/>
      <c r="J1573" s="28">
        <v>6600000</v>
      </c>
      <c r="K1573" s="488">
        <f t="shared" si="284"/>
        <v>289080</v>
      </c>
      <c r="L1573" s="469">
        <v>6310920</v>
      </c>
      <c r="M1573" s="28">
        <v>6690000</v>
      </c>
      <c r="N1573" s="28">
        <v>6690000</v>
      </c>
    </row>
    <row r="1574" spans="1:14" s="20" customFormat="1">
      <c r="A1574" s="253"/>
      <c r="B1574" s="231"/>
      <c r="C1574" s="32" t="s">
        <v>47</v>
      </c>
      <c r="D1574" s="77">
        <v>22020406</v>
      </c>
      <c r="E1574" s="135" t="s">
        <v>758</v>
      </c>
      <c r="F1574" s="136">
        <v>1620000</v>
      </c>
      <c r="G1574" s="28">
        <v>1620000</v>
      </c>
      <c r="H1574" s="28"/>
      <c r="I1574" s="28"/>
      <c r="J1574" s="28">
        <v>1620000</v>
      </c>
      <c r="K1574" s="488">
        <f t="shared" si="284"/>
        <v>70956</v>
      </c>
      <c r="L1574" s="469">
        <v>1549044</v>
      </c>
      <c r="M1574" s="28">
        <v>1620000</v>
      </c>
      <c r="N1574" s="28">
        <v>1620000</v>
      </c>
    </row>
    <row r="1575" spans="1:14" s="20" customFormat="1">
      <c r="A1575" s="253"/>
      <c r="B1575" s="231"/>
      <c r="C1575" s="32" t="s">
        <v>47</v>
      </c>
      <c r="D1575" s="77">
        <v>22020414</v>
      </c>
      <c r="E1575" s="135" t="s">
        <v>877</v>
      </c>
      <c r="F1575" s="136">
        <v>2126400</v>
      </c>
      <c r="G1575" s="28">
        <v>2126400</v>
      </c>
      <c r="H1575" s="28"/>
      <c r="I1575" s="28"/>
      <c r="J1575" s="28">
        <v>2126400</v>
      </c>
      <c r="K1575" s="488">
        <f t="shared" si="284"/>
        <v>93136.319999999992</v>
      </c>
      <c r="L1575" s="469">
        <v>2033263.6800000002</v>
      </c>
      <c r="M1575" s="28">
        <v>1063200</v>
      </c>
      <c r="N1575" s="28">
        <v>1063200</v>
      </c>
    </row>
    <row r="1576" spans="1:14" s="20" customFormat="1">
      <c r="A1576" s="253"/>
      <c r="B1576" s="231"/>
      <c r="C1576" s="32" t="s">
        <v>47</v>
      </c>
      <c r="D1576" s="77">
        <v>22020501</v>
      </c>
      <c r="E1576" s="135" t="s">
        <v>929</v>
      </c>
      <c r="F1576" s="136">
        <v>2000000</v>
      </c>
      <c r="G1576" s="28">
        <v>2000000</v>
      </c>
      <c r="H1576" s="28"/>
      <c r="I1576" s="28"/>
      <c r="J1576" s="28">
        <v>2000000</v>
      </c>
      <c r="K1576" s="488">
        <f t="shared" si="284"/>
        <v>87600</v>
      </c>
      <c r="L1576" s="469">
        <v>1912400</v>
      </c>
      <c r="M1576" s="28">
        <v>4000000</v>
      </c>
      <c r="N1576" s="28">
        <v>10000000</v>
      </c>
    </row>
    <row r="1577" spans="1:14" s="20" customFormat="1">
      <c r="A1577" s="253"/>
      <c r="B1577" s="231"/>
      <c r="C1577" s="32" t="s">
        <v>47</v>
      </c>
      <c r="D1577" s="77">
        <v>22020502</v>
      </c>
      <c r="E1577" s="135" t="s">
        <v>1004</v>
      </c>
      <c r="F1577" s="136">
        <v>1200000</v>
      </c>
      <c r="G1577" s="28">
        <v>1200000</v>
      </c>
      <c r="H1577" s="28"/>
      <c r="I1577" s="28"/>
      <c r="J1577" s="28">
        <v>1200000</v>
      </c>
      <c r="K1577" s="488">
        <f t="shared" si="284"/>
        <v>52560</v>
      </c>
      <c r="L1577" s="469">
        <v>1147440</v>
      </c>
      <c r="M1577" s="28">
        <v>2400000</v>
      </c>
      <c r="N1577" s="28">
        <v>6000000</v>
      </c>
    </row>
    <row r="1578" spans="1:14" s="20" customFormat="1">
      <c r="A1578" s="253"/>
      <c r="B1578" s="231"/>
      <c r="C1578" s="32" t="s">
        <v>47</v>
      </c>
      <c r="D1578" s="77">
        <v>22020504</v>
      </c>
      <c r="E1578" s="135" t="s">
        <v>897</v>
      </c>
      <c r="F1578" s="136">
        <v>5400000</v>
      </c>
      <c r="G1578" s="28">
        <v>5400000</v>
      </c>
      <c r="H1578" s="28"/>
      <c r="I1578" s="28"/>
      <c r="J1578" s="28">
        <v>5400000</v>
      </c>
      <c r="K1578" s="488">
        <f t="shared" si="284"/>
        <v>236520</v>
      </c>
      <c r="L1578" s="469">
        <v>5163480</v>
      </c>
      <c r="M1578" s="28">
        <v>7400000</v>
      </c>
      <c r="N1578" s="28">
        <v>16800000</v>
      </c>
    </row>
    <row r="1579" spans="1:14" s="20" customFormat="1">
      <c r="A1579" s="253"/>
      <c r="B1579" s="231"/>
      <c r="C1579" s="32" t="s">
        <v>47</v>
      </c>
      <c r="D1579" s="77">
        <v>22020505</v>
      </c>
      <c r="E1579" s="135" t="s">
        <v>843</v>
      </c>
      <c r="F1579" s="136">
        <v>1300000</v>
      </c>
      <c r="G1579" s="28">
        <v>1300000</v>
      </c>
      <c r="H1579" s="28"/>
      <c r="I1579" s="28"/>
      <c r="J1579" s="28">
        <v>1300000</v>
      </c>
      <c r="K1579" s="488">
        <f t="shared" si="284"/>
        <v>56940</v>
      </c>
      <c r="L1579" s="469">
        <v>1243060</v>
      </c>
      <c r="M1579" s="28">
        <v>1300000</v>
      </c>
      <c r="N1579" s="28">
        <v>1300000</v>
      </c>
    </row>
    <row r="1580" spans="1:14" s="20" customFormat="1">
      <c r="A1580" s="253"/>
      <c r="B1580" s="231"/>
      <c r="C1580" s="32" t="s">
        <v>47</v>
      </c>
      <c r="D1580" s="77">
        <v>22020513</v>
      </c>
      <c r="E1580" s="135" t="s">
        <v>1005</v>
      </c>
      <c r="F1580" s="136">
        <v>3800000</v>
      </c>
      <c r="G1580" s="28">
        <v>3800000</v>
      </c>
      <c r="H1580" s="28"/>
      <c r="I1580" s="28"/>
      <c r="J1580" s="28">
        <v>3800000</v>
      </c>
      <c r="K1580" s="488">
        <f t="shared" si="284"/>
        <v>166440</v>
      </c>
      <c r="L1580" s="469">
        <v>3633560</v>
      </c>
      <c r="M1580" s="28">
        <v>3800000</v>
      </c>
      <c r="N1580" s="28">
        <v>3800000</v>
      </c>
    </row>
    <row r="1581" spans="1:14" s="20" customFormat="1">
      <c r="A1581" s="253"/>
      <c r="B1581" s="231"/>
      <c r="C1581" s="32" t="s">
        <v>47</v>
      </c>
      <c r="D1581" s="77">
        <v>22020601</v>
      </c>
      <c r="E1581" s="135" t="s">
        <v>766</v>
      </c>
      <c r="F1581" s="136">
        <v>1549000</v>
      </c>
      <c r="G1581" s="28">
        <v>1549000</v>
      </c>
      <c r="H1581" s="28"/>
      <c r="I1581" s="28"/>
      <c r="J1581" s="28">
        <v>1549000</v>
      </c>
      <c r="K1581" s="488">
        <f t="shared" si="284"/>
        <v>67846.2</v>
      </c>
      <c r="L1581" s="469">
        <v>1481153.8</v>
      </c>
      <c r="M1581" s="28">
        <v>1509000</v>
      </c>
      <c r="N1581" s="28">
        <v>1509000</v>
      </c>
    </row>
    <row r="1582" spans="1:14" s="20" customFormat="1">
      <c r="A1582" s="253"/>
      <c r="B1582" s="231"/>
      <c r="C1582" s="32" t="s">
        <v>47</v>
      </c>
      <c r="D1582" s="77">
        <v>22020603</v>
      </c>
      <c r="E1582" s="135" t="s">
        <v>1006</v>
      </c>
      <c r="F1582" s="136">
        <v>2400000</v>
      </c>
      <c r="G1582" s="28">
        <v>2400000</v>
      </c>
      <c r="H1582" s="28"/>
      <c r="I1582" s="28"/>
      <c r="J1582" s="28">
        <v>2400000</v>
      </c>
      <c r="K1582" s="488">
        <f t="shared" si="284"/>
        <v>105120</v>
      </c>
      <c r="L1582" s="469">
        <v>2294880</v>
      </c>
      <c r="M1582" s="28">
        <v>3600000</v>
      </c>
      <c r="N1582" s="28">
        <v>3600000</v>
      </c>
    </row>
    <row r="1583" spans="1:14" s="20" customFormat="1">
      <c r="A1583" s="253"/>
      <c r="B1583" s="231"/>
      <c r="C1583" s="32" t="s">
        <v>47</v>
      </c>
      <c r="D1583" s="77">
        <v>22020605</v>
      </c>
      <c r="E1583" s="135" t="s">
        <v>768</v>
      </c>
      <c r="F1583" s="136">
        <v>7826000</v>
      </c>
      <c r="G1583" s="28">
        <v>7826000</v>
      </c>
      <c r="H1583" s="28"/>
      <c r="I1583" s="28"/>
      <c r="J1583" s="28">
        <v>7826000</v>
      </c>
      <c r="K1583" s="488">
        <f t="shared" si="284"/>
        <v>342778.8</v>
      </c>
      <c r="L1583" s="469">
        <v>7483221.2000000002</v>
      </c>
      <c r="M1583" s="28">
        <v>3821000</v>
      </c>
      <c r="N1583" s="28">
        <v>3821000</v>
      </c>
    </row>
    <row r="1584" spans="1:14" s="20" customFormat="1">
      <c r="A1584" s="253"/>
      <c r="B1584" s="231"/>
      <c r="C1584" s="32" t="s">
        <v>47</v>
      </c>
      <c r="D1584" s="77">
        <v>22020616</v>
      </c>
      <c r="E1584" s="135" t="s">
        <v>1007</v>
      </c>
      <c r="F1584" s="136">
        <v>2400000</v>
      </c>
      <c r="G1584" s="28">
        <v>2400000</v>
      </c>
      <c r="H1584" s="28"/>
      <c r="I1584" s="28"/>
      <c r="J1584" s="28">
        <v>2400000</v>
      </c>
      <c r="K1584" s="488">
        <f t="shared" si="284"/>
        <v>105120</v>
      </c>
      <c r="L1584" s="469">
        <v>2294880</v>
      </c>
      <c r="M1584" s="28">
        <v>2400000</v>
      </c>
      <c r="N1584" s="28">
        <v>2400000</v>
      </c>
    </row>
    <row r="1585" spans="1:14" s="20" customFormat="1">
      <c r="A1585" s="253"/>
      <c r="B1585" s="231"/>
      <c r="C1585" s="32" t="s">
        <v>47</v>
      </c>
      <c r="D1585" s="77">
        <v>22020619</v>
      </c>
      <c r="E1585" s="135" t="s">
        <v>1008</v>
      </c>
      <c r="F1585" s="136">
        <v>13530000</v>
      </c>
      <c r="G1585" s="28">
        <v>13530000</v>
      </c>
      <c r="H1585" s="28"/>
      <c r="I1585" s="28"/>
      <c r="J1585" s="28">
        <v>13530000</v>
      </c>
      <c r="K1585" s="488">
        <f t="shared" si="284"/>
        <v>592614</v>
      </c>
      <c r="L1585" s="469">
        <v>12937386</v>
      </c>
      <c r="M1585" s="28">
        <v>15780000</v>
      </c>
      <c r="N1585" s="28">
        <v>17280000</v>
      </c>
    </row>
    <row r="1586" spans="1:14" s="20" customFormat="1">
      <c r="A1586" s="253"/>
      <c r="B1586" s="231"/>
      <c r="C1586" s="32" t="s">
        <v>47</v>
      </c>
      <c r="D1586" s="77">
        <v>22020620</v>
      </c>
      <c r="E1586" s="135" t="s">
        <v>1009</v>
      </c>
      <c r="F1586" s="136">
        <v>3600000</v>
      </c>
      <c r="G1586" s="28">
        <v>3600000</v>
      </c>
      <c r="H1586" s="28"/>
      <c r="I1586" s="28"/>
      <c r="J1586" s="28">
        <v>3600000</v>
      </c>
      <c r="K1586" s="488">
        <f t="shared" si="284"/>
        <v>157680</v>
      </c>
      <c r="L1586" s="469">
        <v>3442320</v>
      </c>
      <c r="M1586" s="28">
        <v>7200000</v>
      </c>
      <c r="N1586" s="28">
        <v>7800000</v>
      </c>
    </row>
    <row r="1587" spans="1:14" s="20" customFormat="1">
      <c r="A1587" s="253"/>
      <c r="B1587" s="231"/>
      <c r="C1587" s="32" t="s">
        <v>47</v>
      </c>
      <c r="D1587" s="77">
        <v>22020701</v>
      </c>
      <c r="E1587" s="135" t="s">
        <v>769</v>
      </c>
      <c r="F1587" s="136">
        <v>1350000</v>
      </c>
      <c r="G1587" s="28">
        <v>1350000</v>
      </c>
      <c r="H1587" s="28"/>
      <c r="I1587" s="28"/>
      <c r="J1587" s="28">
        <v>1350000</v>
      </c>
      <c r="K1587" s="488">
        <f t="shared" si="284"/>
        <v>59130</v>
      </c>
      <c r="L1587" s="469">
        <v>1290870</v>
      </c>
      <c r="M1587" s="28">
        <v>1350000</v>
      </c>
      <c r="N1587" s="28">
        <v>1350000</v>
      </c>
    </row>
    <row r="1588" spans="1:14" s="20" customFormat="1">
      <c r="A1588" s="253"/>
      <c r="B1588" s="231"/>
      <c r="C1588" s="32" t="s">
        <v>47</v>
      </c>
      <c r="D1588" s="77">
        <v>22020702</v>
      </c>
      <c r="E1588" s="135" t="s">
        <v>964</v>
      </c>
      <c r="F1588" s="136">
        <v>3850000</v>
      </c>
      <c r="G1588" s="28">
        <v>3850000</v>
      </c>
      <c r="H1588" s="28"/>
      <c r="I1588" s="28"/>
      <c r="J1588" s="28">
        <v>3850000</v>
      </c>
      <c r="K1588" s="488">
        <f t="shared" si="284"/>
        <v>168630</v>
      </c>
      <c r="L1588" s="469">
        <v>3681370</v>
      </c>
      <c r="M1588" s="28">
        <v>3850000</v>
      </c>
      <c r="N1588" s="28">
        <v>3850000</v>
      </c>
    </row>
    <row r="1589" spans="1:14" s="20" customFormat="1">
      <c r="A1589" s="253"/>
      <c r="B1589" s="231"/>
      <c r="C1589" s="32" t="s">
        <v>47</v>
      </c>
      <c r="D1589" s="77">
        <v>22020703</v>
      </c>
      <c r="E1589" s="135" t="s">
        <v>770</v>
      </c>
      <c r="F1589" s="136">
        <v>2130000</v>
      </c>
      <c r="G1589" s="28">
        <v>2130000</v>
      </c>
      <c r="H1589" s="28"/>
      <c r="I1589" s="28"/>
      <c r="J1589" s="28">
        <v>2130000</v>
      </c>
      <c r="K1589" s="488">
        <f t="shared" si="284"/>
        <v>93294</v>
      </c>
      <c r="L1589" s="469">
        <v>2036706</v>
      </c>
      <c r="M1589" s="28">
        <v>3330000</v>
      </c>
      <c r="N1589" s="28">
        <v>3330000</v>
      </c>
    </row>
    <row r="1590" spans="1:14" s="20" customFormat="1">
      <c r="A1590" s="253"/>
      <c r="B1590" s="231"/>
      <c r="C1590" s="32" t="s">
        <v>47</v>
      </c>
      <c r="D1590" s="77">
        <v>22020704</v>
      </c>
      <c r="E1590" s="135" t="s">
        <v>937</v>
      </c>
      <c r="F1590" s="136">
        <v>1500000</v>
      </c>
      <c r="G1590" s="28">
        <v>1500000</v>
      </c>
      <c r="H1590" s="28"/>
      <c r="I1590" s="28"/>
      <c r="J1590" s="28">
        <v>1500000</v>
      </c>
      <c r="K1590" s="488">
        <f t="shared" si="284"/>
        <v>65700</v>
      </c>
      <c r="L1590" s="469">
        <v>1434300</v>
      </c>
      <c r="M1590" s="28">
        <v>1500000</v>
      </c>
      <c r="N1590" s="28">
        <v>1500000</v>
      </c>
    </row>
    <row r="1591" spans="1:14" s="20" customFormat="1">
      <c r="A1591" s="253"/>
      <c r="B1591" s="231"/>
      <c r="C1591" s="32" t="s">
        <v>47</v>
      </c>
      <c r="D1591" s="77">
        <v>22020705</v>
      </c>
      <c r="E1591" s="135" t="s">
        <v>938</v>
      </c>
      <c r="F1591" s="136">
        <v>2600000</v>
      </c>
      <c r="G1591" s="28">
        <v>2600000</v>
      </c>
      <c r="H1591" s="28"/>
      <c r="I1591" s="28"/>
      <c r="J1591" s="28">
        <v>2600000</v>
      </c>
      <c r="K1591" s="488">
        <f t="shared" si="284"/>
        <v>113880</v>
      </c>
      <c r="L1591" s="469">
        <v>2486120</v>
      </c>
      <c r="M1591" s="28">
        <v>3900000</v>
      </c>
      <c r="N1591" s="28">
        <v>3900000</v>
      </c>
    </row>
    <row r="1592" spans="1:14" s="20" customFormat="1">
      <c r="A1592" s="253"/>
      <c r="B1592" s="231"/>
      <c r="C1592" s="32" t="s">
        <v>47</v>
      </c>
      <c r="D1592" s="77">
        <v>22020706</v>
      </c>
      <c r="E1592" s="135" t="s">
        <v>901</v>
      </c>
      <c r="F1592" s="136">
        <v>832000</v>
      </c>
      <c r="G1592" s="28">
        <v>832000</v>
      </c>
      <c r="H1592" s="28"/>
      <c r="I1592" s="28"/>
      <c r="J1592" s="28">
        <v>832000</v>
      </c>
      <c r="K1592" s="488">
        <f t="shared" si="284"/>
        <v>36441.599999999999</v>
      </c>
      <c r="L1592" s="469">
        <v>795558.40000000002</v>
      </c>
      <c r="M1592" s="28">
        <v>832000</v>
      </c>
      <c r="N1592" s="28">
        <v>832000</v>
      </c>
    </row>
    <row r="1593" spans="1:14" s="20" customFormat="1">
      <c r="A1593" s="253"/>
      <c r="B1593" s="231"/>
      <c r="C1593" s="32" t="s">
        <v>47</v>
      </c>
      <c r="D1593" s="77">
        <v>22020709</v>
      </c>
      <c r="E1593" s="135" t="s">
        <v>771</v>
      </c>
      <c r="F1593" s="136">
        <v>2660000</v>
      </c>
      <c r="G1593" s="28">
        <v>2660000</v>
      </c>
      <c r="H1593" s="28"/>
      <c r="I1593" s="28"/>
      <c r="J1593" s="28">
        <v>2660000</v>
      </c>
      <c r="K1593" s="488">
        <f t="shared" si="284"/>
        <v>116508</v>
      </c>
      <c r="L1593" s="469">
        <v>2543492</v>
      </c>
      <c r="M1593" s="28">
        <v>4960000</v>
      </c>
      <c r="N1593" s="28">
        <v>4960000</v>
      </c>
    </row>
    <row r="1594" spans="1:14" s="20" customFormat="1">
      <c r="A1594" s="253"/>
      <c r="B1594" s="231"/>
      <c r="C1594" s="32" t="s">
        <v>47</v>
      </c>
      <c r="D1594" s="77">
        <v>22020801</v>
      </c>
      <c r="E1594" s="135" t="s">
        <v>747</v>
      </c>
      <c r="F1594" s="136">
        <v>6000000</v>
      </c>
      <c r="G1594" s="28">
        <v>6000000</v>
      </c>
      <c r="H1594" s="28"/>
      <c r="I1594" s="28"/>
      <c r="J1594" s="28">
        <v>6000000</v>
      </c>
      <c r="K1594" s="488">
        <f t="shared" si="284"/>
        <v>262800</v>
      </c>
      <c r="L1594" s="469">
        <v>5737200</v>
      </c>
      <c r="M1594" s="28">
        <v>17380000</v>
      </c>
      <c r="N1594" s="28">
        <v>17380000</v>
      </c>
    </row>
    <row r="1595" spans="1:14" s="20" customFormat="1">
      <c r="A1595" s="253"/>
      <c r="B1595" s="231"/>
      <c r="C1595" s="32" t="s">
        <v>47</v>
      </c>
      <c r="D1595" s="77">
        <v>22020803</v>
      </c>
      <c r="E1595" s="135" t="s">
        <v>748</v>
      </c>
      <c r="F1595" s="136">
        <v>6933000</v>
      </c>
      <c r="G1595" s="28">
        <v>6933000</v>
      </c>
      <c r="H1595" s="28"/>
      <c r="I1595" s="28"/>
      <c r="J1595" s="28">
        <v>6933000</v>
      </c>
      <c r="K1595" s="488">
        <f t="shared" si="284"/>
        <v>303665.39999999997</v>
      </c>
      <c r="L1595" s="469">
        <v>6629334.6000000006</v>
      </c>
      <c r="M1595" s="28">
        <v>6943000</v>
      </c>
      <c r="N1595" s="28">
        <v>6943000</v>
      </c>
    </row>
    <row r="1596" spans="1:14" s="20" customFormat="1">
      <c r="A1596" s="253"/>
      <c r="B1596" s="231"/>
      <c r="C1596" s="32" t="s">
        <v>47</v>
      </c>
      <c r="D1596" s="77">
        <v>22020806</v>
      </c>
      <c r="E1596" s="135" t="s">
        <v>1010</v>
      </c>
      <c r="F1596" s="136">
        <v>1317000</v>
      </c>
      <c r="G1596" s="28">
        <v>1317000</v>
      </c>
      <c r="H1596" s="28"/>
      <c r="I1596" s="28"/>
      <c r="J1596" s="28">
        <v>1317000</v>
      </c>
      <c r="K1596" s="488">
        <f t="shared" si="284"/>
        <v>57684.6</v>
      </c>
      <c r="L1596" s="469">
        <v>1259315.4000000001</v>
      </c>
      <c r="M1596" s="28">
        <v>1317000</v>
      </c>
      <c r="N1596" s="28">
        <v>1317000</v>
      </c>
    </row>
    <row r="1597" spans="1:14" s="20" customFormat="1">
      <c r="A1597" s="253"/>
      <c r="B1597" s="231"/>
      <c r="C1597" s="32" t="s">
        <v>47</v>
      </c>
      <c r="D1597" s="77">
        <v>22020901</v>
      </c>
      <c r="E1597" s="135" t="s">
        <v>749</v>
      </c>
      <c r="F1597" s="136">
        <v>60000</v>
      </c>
      <c r="G1597" s="28">
        <v>60000</v>
      </c>
      <c r="H1597" s="28"/>
      <c r="I1597" s="28"/>
      <c r="J1597" s="28">
        <v>60000</v>
      </c>
      <c r="K1597" s="488">
        <f t="shared" si="284"/>
        <v>2628</v>
      </c>
      <c r="L1597" s="469">
        <v>57372</v>
      </c>
      <c r="M1597" s="28">
        <v>60000</v>
      </c>
      <c r="N1597" s="28">
        <v>60000</v>
      </c>
    </row>
    <row r="1598" spans="1:14" s="20" customFormat="1">
      <c r="A1598" s="253"/>
      <c r="B1598" s="231"/>
      <c r="C1598" s="32" t="s">
        <v>47</v>
      </c>
      <c r="D1598" s="77">
        <v>22020902</v>
      </c>
      <c r="E1598" s="135" t="s">
        <v>853</v>
      </c>
      <c r="F1598" s="136">
        <v>7000000</v>
      </c>
      <c r="G1598" s="28">
        <v>7000000</v>
      </c>
      <c r="H1598" s="28"/>
      <c r="I1598" s="28"/>
      <c r="J1598" s="28">
        <v>7000000</v>
      </c>
      <c r="K1598" s="488">
        <f t="shared" si="284"/>
        <v>306600</v>
      </c>
      <c r="L1598" s="469">
        <v>6693400</v>
      </c>
      <c r="M1598" s="28">
        <v>7000000</v>
      </c>
      <c r="N1598" s="28">
        <v>7000000</v>
      </c>
    </row>
    <row r="1599" spans="1:14" s="20" customFormat="1">
      <c r="A1599" s="253"/>
      <c r="B1599" s="231"/>
      <c r="C1599" s="32" t="s">
        <v>47</v>
      </c>
      <c r="D1599" s="77">
        <v>22021001</v>
      </c>
      <c r="E1599" s="135" t="s">
        <v>772</v>
      </c>
      <c r="F1599" s="136">
        <v>9917000</v>
      </c>
      <c r="G1599" s="28">
        <v>9917000</v>
      </c>
      <c r="H1599" s="28"/>
      <c r="I1599" s="28"/>
      <c r="J1599" s="28">
        <v>9917000</v>
      </c>
      <c r="K1599" s="488">
        <f t="shared" si="284"/>
        <v>434364.6</v>
      </c>
      <c r="L1599" s="469">
        <v>9482635.4000000004</v>
      </c>
      <c r="M1599" s="28">
        <v>10793000</v>
      </c>
      <c r="N1599" s="28">
        <v>11285000</v>
      </c>
    </row>
    <row r="1600" spans="1:14" s="20" customFormat="1">
      <c r="A1600" s="253"/>
      <c r="B1600" s="231"/>
      <c r="C1600" s="32" t="s">
        <v>47</v>
      </c>
      <c r="D1600" s="77">
        <v>22021002</v>
      </c>
      <c r="E1600" s="135" t="s">
        <v>805</v>
      </c>
      <c r="F1600" s="136">
        <v>4500000</v>
      </c>
      <c r="G1600" s="28">
        <v>4500000</v>
      </c>
      <c r="H1600" s="28"/>
      <c r="I1600" s="28"/>
      <c r="J1600" s="28">
        <v>4500000</v>
      </c>
      <c r="K1600" s="488">
        <f t="shared" si="284"/>
        <v>197100</v>
      </c>
      <c r="L1600" s="469">
        <v>4302900</v>
      </c>
      <c r="M1600" s="28">
        <v>6300000</v>
      </c>
      <c r="N1600" s="28">
        <v>6300000</v>
      </c>
    </row>
    <row r="1601" spans="1:14" s="20" customFormat="1">
      <c r="A1601" s="253"/>
      <c r="B1601" s="231"/>
      <c r="C1601" s="32" t="s">
        <v>47</v>
      </c>
      <c r="D1601" s="77">
        <v>22021003</v>
      </c>
      <c r="E1601" s="135" t="s">
        <v>760</v>
      </c>
      <c r="F1601" s="136">
        <v>5131500</v>
      </c>
      <c r="G1601" s="28">
        <v>5131500</v>
      </c>
      <c r="H1601" s="28"/>
      <c r="I1601" s="28"/>
      <c r="J1601" s="28">
        <v>5131500</v>
      </c>
      <c r="K1601" s="488">
        <f t="shared" si="284"/>
        <v>224759.69999999998</v>
      </c>
      <c r="L1601" s="469">
        <v>4906740.3</v>
      </c>
      <c r="M1601" s="28">
        <v>5351500</v>
      </c>
      <c r="N1601" s="28">
        <v>5431500</v>
      </c>
    </row>
    <row r="1602" spans="1:14" s="20" customFormat="1">
      <c r="A1602" s="253"/>
      <c r="B1602" s="231"/>
      <c r="C1602" s="32" t="s">
        <v>47</v>
      </c>
      <c r="D1602" s="77">
        <v>22021004</v>
      </c>
      <c r="E1602" s="135" t="s">
        <v>854</v>
      </c>
      <c r="F1602" s="136">
        <v>1680000</v>
      </c>
      <c r="G1602" s="28">
        <v>1680000</v>
      </c>
      <c r="H1602" s="28"/>
      <c r="I1602" s="28"/>
      <c r="J1602" s="28">
        <v>1680000</v>
      </c>
      <c r="K1602" s="488">
        <f t="shared" si="284"/>
        <v>73584</v>
      </c>
      <c r="L1602" s="469">
        <v>1606416</v>
      </c>
      <c r="M1602" s="28">
        <v>1680000</v>
      </c>
      <c r="N1602" s="28">
        <v>1680000</v>
      </c>
    </row>
    <row r="1603" spans="1:14" s="20" customFormat="1">
      <c r="A1603" s="253"/>
      <c r="B1603" s="231"/>
      <c r="C1603" s="32" t="s">
        <v>47</v>
      </c>
      <c r="D1603" s="77">
        <v>22021007</v>
      </c>
      <c r="E1603" s="135" t="s">
        <v>856</v>
      </c>
      <c r="F1603" s="136">
        <v>8465000</v>
      </c>
      <c r="G1603" s="28">
        <v>8465000</v>
      </c>
      <c r="H1603" s="28"/>
      <c r="I1603" s="28"/>
      <c r="J1603" s="28">
        <v>8465000</v>
      </c>
      <c r="K1603" s="488">
        <f t="shared" si="284"/>
        <v>370767</v>
      </c>
      <c r="L1603" s="469">
        <v>8094233</v>
      </c>
      <c r="M1603" s="28">
        <v>8465000</v>
      </c>
      <c r="N1603" s="28">
        <v>8465000</v>
      </c>
    </row>
    <row r="1604" spans="1:14" s="20" customFormat="1">
      <c r="A1604" s="253"/>
      <c r="B1604" s="231"/>
      <c r="C1604" s="32" t="s">
        <v>47</v>
      </c>
      <c r="D1604" s="77">
        <v>22021008</v>
      </c>
      <c r="E1604" s="135" t="s">
        <v>784</v>
      </c>
      <c r="F1604" s="136">
        <v>3750000</v>
      </c>
      <c r="G1604" s="28">
        <v>3750000</v>
      </c>
      <c r="H1604" s="28"/>
      <c r="I1604" s="28"/>
      <c r="J1604" s="28">
        <v>3750000</v>
      </c>
      <c r="K1604" s="488">
        <f t="shared" si="284"/>
        <v>164250</v>
      </c>
      <c r="L1604" s="469">
        <v>3585750</v>
      </c>
      <c r="M1604" s="28">
        <v>3750000</v>
      </c>
      <c r="N1604" s="28">
        <v>3750000</v>
      </c>
    </row>
    <row r="1605" spans="1:14" s="20" customFormat="1">
      <c r="A1605" s="253"/>
      <c r="B1605" s="231"/>
      <c r="C1605" s="32" t="s">
        <v>47</v>
      </c>
      <c r="D1605" s="77">
        <v>22021009</v>
      </c>
      <c r="E1605" s="135" t="s">
        <v>873</v>
      </c>
      <c r="F1605" s="136">
        <v>5270000</v>
      </c>
      <c r="G1605" s="28">
        <v>5270000</v>
      </c>
      <c r="H1605" s="28"/>
      <c r="I1605" s="28"/>
      <c r="J1605" s="28">
        <v>5270000</v>
      </c>
      <c r="K1605" s="488">
        <f t="shared" si="284"/>
        <v>230826</v>
      </c>
      <c r="L1605" s="469">
        <v>5039174</v>
      </c>
      <c r="M1605" s="28">
        <v>5270000</v>
      </c>
      <c r="N1605" s="28">
        <v>5270000</v>
      </c>
    </row>
    <row r="1606" spans="1:14" s="20" customFormat="1">
      <c r="A1606" s="253"/>
      <c r="B1606" s="231"/>
      <c r="C1606" s="32" t="s">
        <v>47</v>
      </c>
      <c r="D1606" s="77">
        <v>22021021</v>
      </c>
      <c r="E1606" s="135" t="s">
        <v>832</v>
      </c>
      <c r="F1606" s="136">
        <v>4750000</v>
      </c>
      <c r="G1606" s="28">
        <v>4750000</v>
      </c>
      <c r="H1606" s="28"/>
      <c r="I1606" s="28"/>
      <c r="J1606" s="28">
        <v>4750000</v>
      </c>
      <c r="K1606" s="488">
        <f t="shared" si="284"/>
        <v>208050</v>
      </c>
      <c r="L1606" s="469">
        <v>4541950</v>
      </c>
      <c r="M1606" s="28">
        <v>4750000</v>
      </c>
      <c r="N1606" s="28">
        <v>4750000</v>
      </c>
    </row>
    <row r="1607" spans="1:14" s="20" customFormat="1">
      <c r="A1607" s="253"/>
      <c r="B1607" s="231"/>
      <c r="C1607" s="32" t="s">
        <v>47</v>
      </c>
      <c r="D1607" s="77">
        <v>22021026</v>
      </c>
      <c r="E1607" s="135" t="s">
        <v>751</v>
      </c>
      <c r="F1607" s="136">
        <v>5420000</v>
      </c>
      <c r="G1607" s="28">
        <v>5420000</v>
      </c>
      <c r="H1607" s="28"/>
      <c r="I1607" s="28"/>
      <c r="J1607" s="28">
        <v>5420000</v>
      </c>
      <c r="K1607" s="488">
        <f t="shared" si="284"/>
        <v>237396</v>
      </c>
      <c r="L1607" s="469">
        <v>5182604</v>
      </c>
      <c r="M1607" s="28">
        <v>5685000</v>
      </c>
      <c r="N1607" s="28">
        <v>5685000</v>
      </c>
    </row>
    <row r="1608" spans="1:14" s="20" customFormat="1">
      <c r="A1608" s="253"/>
      <c r="B1608" s="231"/>
      <c r="C1608" s="32" t="s">
        <v>47</v>
      </c>
      <c r="D1608" s="77">
        <v>22021029</v>
      </c>
      <c r="E1608" s="135" t="s">
        <v>867</v>
      </c>
      <c r="F1608" s="136">
        <v>1500000</v>
      </c>
      <c r="G1608" s="28">
        <v>1500000</v>
      </c>
      <c r="H1608" s="28"/>
      <c r="I1608" s="28"/>
      <c r="J1608" s="28">
        <v>1500000</v>
      </c>
      <c r="K1608" s="488">
        <f t="shared" si="284"/>
        <v>65700</v>
      </c>
      <c r="L1608" s="469">
        <v>1434300</v>
      </c>
      <c r="M1608" s="28">
        <v>1500000</v>
      </c>
      <c r="N1608" s="28">
        <v>1500000</v>
      </c>
    </row>
    <row r="1609" spans="1:14" s="20" customFormat="1">
      <c r="A1609" s="253"/>
      <c r="B1609" s="231"/>
      <c r="C1609" s="32" t="s">
        <v>47</v>
      </c>
      <c r="D1609" s="77">
        <v>22021030</v>
      </c>
      <c r="E1609" s="135" t="s">
        <v>1011</v>
      </c>
      <c r="F1609" s="136">
        <v>3500000</v>
      </c>
      <c r="G1609" s="28">
        <v>3500000</v>
      </c>
      <c r="H1609" s="28"/>
      <c r="I1609" s="28"/>
      <c r="J1609" s="28">
        <v>3500000</v>
      </c>
      <c r="K1609" s="488">
        <f t="shared" si="284"/>
        <v>153300</v>
      </c>
      <c r="L1609" s="469">
        <v>3346700</v>
      </c>
      <c r="M1609" s="28">
        <v>3500000</v>
      </c>
      <c r="N1609" s="28">
        <v>3500000</v>
      </c>
    </row>
    <row r="1610" spans="1:14" s="20" customFormat="1">
      <c r="A1610" s="253"/>
      <c r="B1610" s="231"/>
      <c r="C1610" s="32" t="s">
        <v>47</v>
      </c>
      <c r="D1610" s="77">
        <v>22021036</v>
      </c>
      <c r="E1610" s="135" t="s">
        <v>1012</v>
      </c>
      <c r="F1610" s="136">
        <v>6660000</v>
      </c>
      <c r="G1610" s="28">
        <v>6660000</v>
      </c>
      <c r="H1610" s="28"/>
      <c r="I1610" s="28"/>
      <c r="J1610" s="28">
        <v>6660000</v>
      </c>
      <c r="K1610" s="488">
        <f t="shared" si="284"/>
        <v>291708</v>
      </c>
      <c r="L1610" s="469">
        <v>6368292</v>
      </c>
      <c r="M1610" s="28">
        <v>9060000</v>
      </c>
      <c r="N1610" s="28">
        <v>10260000</v>
      </c>
    </row>
    <row r="1611" spans="1:14" s="20" customFormat="1">
      <c r="A1611" s="253"/>
      <c r="B1611" s="231"/>
      <c r="C1611" s="32" t="s">
        <v>47</v>
      </c>
      <c r="D1611" s="77">
        <v>22021038</v>
      </c>
      <c r="E1611" s="135" t="s">
        <v>1013</v>
      </c>
      <c r="F1611" s="136">
        <v>6100000</v>
      </c>
      <c r="G1611" s="28">
        <v>6100000</v>
      </c>
      <c r="H1611" s="28"/>
      <c r="I1611" s="28"/>
      <c r="J1611" s="28">
        <v>6100000</v>
      </c>
      <c r="K1611" s="488">
        <f t="shared" si="284"/>
        <v>267180</v>
      </c>
      <c r="L1611" s="469">
        <v>5832820</v>
      </c>
      <c r="M1611" s="28">
        <v>6100000</v>
      </c>
      <c r="N1611" s="28">
        <v>6100000</v>
      </c>
    </row>
    <row r="1612" spans="1:14" s="20" customFormat="1">
      <c r="A1612" s="238"/>
      <c r="B1612" s="231"/>
      <c r="C1612" s="30" t="s">
        <v>1839</v>
      </c>
      <c r="D1612" s="23"/>
      <c r="E1612" s="25"/>
      <c r="F1612" s="137">
        <f>SUM(F1550:F1611)</f>
        <v>280074250</v>
      </c>
      <c r="G1612" s="114">
        <f>SUM(G1550:G1611)</f>
        <v>268636250</v>
      </c>
      <c r="H1612" s="114">
        <f t="shared" ref="H1612:M1612" si="285">SUM(H1550:H1611)</f>
        <v>0</v>
      </c>
      <c r="I1612" s="114">
        <f t="shared" si="285"/>
        <v>0</v>
      </c>
      <c r="J1612" s="114">
        <f>SUM(J1550:J1611)</f>
        <v>268636250</v>
      </c>
      <c r="K1612" s="490">
        <f t="shared" si="284"/>
        <v>11766267.75</v>
      </c>
      <c r="L1612" s="468">
        <f>SUM(L1550:L1611)</f>
        <v>256869982.25000003</v>
      </c>
      <c r="M1612" s="114">
        <f t="shared" si="285"/>
        <v>344532550</v>
      </c>
      <c r="N1612" s="114">
        <f>SUM(N1550:N1611)</f>
        <v>378638300</v>
      </c>
    </row>
    <row r="1613" spans="1:14" s="66" customFormat="1" ht="30">
      <c r="A1613" s="238" t="s">
        <v>1001</v>
      </c>
      <c r="B1613" s="231" t="s">
        <v>1805</v>
      </c>
      <c r="C1613" s="30"/>
      <c r="D1613" s="23"/>
      <c r="E1613" s="25"/>
      <c r="F1613" s="137">
        <f>F1612+F1549</f>
        <v>1582039403.5600002</v>
      </c>
      <c r="G1613" s="114">
        <f>G1612+G1549</f>
        <v>1570601403.5600002</v>
      </c>
      <c r="H1613" s="114">
        <f t="shared" ref="H1613:M1613" si="286">H1612+H1549</f>
        <v>162460224</v>
      </c>
      <c r="I1613" s="114">
        <f t="shared" si="286"/>
        <v>0</v>
      </c>
      <c r="J1613" s="114">
        <f>J1612+J1549</f>
        <v>1733061627.5600002</v>
      </c>
      <c r="K1613" s="490"/>
      <c r="L1613" s="468">
        <f>L1612+L1549</f>
        <v>1721295359.8100002</v>
      </c>
      <c r="M1613" s="114">
        <f t="shared" si="286"/>
        <v>1776694218.9160001</v>
      </c>
      <c r="N1613" s="114">
        <f>N1612+N1549</f>
        <v>1954016135.8076</v>
      </c>
    </row>
    <row r="1614" spans="1:14" s="20" customFormat="1" ht="21">
      <c r="A1614" s="252"/>
      <c r="B1614" s="443"/>
      <c r="C1614" s="228"/>
      <c r="D1614" s="229"/>
      <c r="E1614" s="230"/>
      <c r="F1614" s="215"/>
      <c r="G1614" s="296"/>
      <c r="H1614" s="296"/>
      <c r="I1614" s="296"/>
      <c r="J1614" s="28"/>
      <c r="K1614" s="488"/>
      <c r="L1614" s="468"/>
      <c r="M1614" s="296"/>
      <c r="N1614" s="296"/>
    </row>
    <row r="1615" spans="1:14" s="20" customFormat="1">
      <c r="A1615" s="238" t="s">
        <v>1014</v>
      </c>
      <c r="B1615" s="231" t="s">
        <v>130</v>
      </c>
      <c r="C1615" s="32" t="s">
        <v>46</v>
      </c>
      <c r="D1615" s="77">
        <v>21010101</v>
      </c>
      <c r="E1615" s="135" t="s">
        <v>725</v>
      </c>
      <c r="F1615" s="136">
        <v>2610684863.2399998</v>
      </c>
      <c r="G1615" s="28">
        <v>2610684863.2399998</v>
      </c>
      <c r="H1615" s="28">
        <v>254416446</v>
      </c>
      <c r="I1615" s="28"/>
      <c r="J1615" s="28">
        <v>2865101309.2399998</v>
      </c>
      <c r="K1615" s="488"/>
      <c r="L1615" s="467">
        <v>2865101309.2399998</v>
      </c>
      <c r="M1615" s="28">
        <f>G1615*10%+G1615</f>
        <v>2871753349.5639997</v>
      </c>
      <c r="N1615" s="28">
        <f>M1615*10%+M1615</f>
        <v>3158928684.5203996</v>
      </c>
    </row>
    <row r="1616" spans="1:14" s="20" customFormat="1">
      <c r="A1616" s="238"/>
      <c r="B1616" s="231"/>
      <c r="C1616" s="30" t="s">
        <v>1842</v>
      </c>
      <c r="D1616" s="23"/>
      <c r="E1616" s="25"/>
      <c r="F1616" s="137">
        <f>SUM(F1615)</f>
        <v>2610684863.2399998</v>
      </c>
      <c r="G1616" s="114">
        <f>SUM(G1615)</f>
        <v>2610684863.2399998</v>
      </c>
      <c r="H1616" s="114">
        <f t="shared" ref="H1616:M1616" si="287">SUM(H1615)</f>
        <v>254416446</v>
      </c>
      <c r="I1616" s="114">
        <f t="shared" si="287"/>
        <v>0</v>
      </c>
      <c r="J1616" s="114">
        <f>SUM(J1615)</f>
        <v>2865101309.2399998</v>
      </c>
      <c r="K1616" s="490"/>
      <c r="L1616" s="468">
        <f>SUM(L1615)</f>
        <v>2865101309.2399998</v>
      </c>
      <c r="M1616" s="114">
        <f t="shared" si="287"/>
        <v>2871753349.5639997</v>
      </c>
      <c r="N1616" s="114">
        <f>SUM(N1615)</f>
        <v>3158928684.5203996</v>
      </c>
    </row>
    <row r="1617" spans="1:14" s="20" customFormat="1">
      <c r="A1617" s="253"/>
      <c r="B1617" s="231"/>
      <c r="C1617" s="32" t="s">
        <v>47</v>
      </c>
      <c r="D1617" s="77">
        <v>22020105</v>
      </c>
      <c r="E1617" s="135" t="s">
        <v>1733</v>
      </c>
      <c r="F1617" s="136">
        <v>20120000</v>
      </c>
      <c r="G1617" s="28">
        <v>10120000</v>
      </c>
      <c r="H1617" s="28"/>
      <c r="I1617" s="28"/>
      <c r="J1617" s="28">
        <v>10120000</v>
      </c>
      <c r="K1617" s="488">
        <f>J1617*4.38%</f>
        <v>443256</v>
      </c>
      <c r="L1617" s="469">
        <v>9676744</v>
      </c>
      <c r="M1617" s="28">
        <v>20360000</v>
      </c>
      <c r="N1617" s="28">
        <v>20600000</v>
      </c>
    </row>
    <row r="1618" spans="1:14" s="20" customFormat="1">
      <c r="A1618" s="253"/>
      <c r="B1618" s="231"/>
      <c r="C1618" s="32" t="s">
        <v>47</v>
      </c>
      <c r="D1618" s="77">
        <v>22020106</v>
      </c>
      <c r="E1618" s="135" t="s">
        <v>846</v>
      </c>
      <c r="F1618" s="136">
        <v>1522500</v>
      </c>
      <c r="G1618" s="28">
        <v>1522500</v>
      </c>
      <c r="H1618" s="28"/>
      <c r="I1618" s="28"/>
      <c r="J1618" s="28">
        <v>1522500</v>
      </c>
      <c r="K1618" s="488">
        <f t="shared" ref="K1618:K1665" si="288">J1618*4.38%</f>
        <v>66685.5</v>
      </c>
      <c r="L1618" s="469">
        <v>1455814.5</v>
      </c>
      <c r="M1618" s="28">
        <v>3045000</v>
      </c>
      <c r="N1618" s="28">
        <v>3045000</v>
      </c>
    </row>
    <row r="1619" spans="1:14" s="20" customFormat="1">
      <c r="A1619" s="253"/>
      <c r="B1619" s="231"/>
      <c r="C1619" s="32" t="s">
        <v>47</v>
      </c>
      <c r="D1619" s="77">
        <v>22020112</v>
      </c>
      <c r="E1619" s="135" t="s">
        <v>848</v>
      </c>
      <c r="F1619" s="136">
        <v>19250000</v>
      </c>
      <c r="G1619" s="28">
        <v>19250000</v>
      </c>
      <c r="H1619" s="28"/>
      <c r="I1619" s="28"/>
      <c r="J1619" s="28">
        <v>19250000</v>
      </c>
      <c r="K1619" s="488">
        <f t="shared" si="288"/>
        <v>843150</v>
      </c>
      <c r="L1619" s="469">
        <v>18406850</v>
      </c>
      <c r="M1619" s="28">
        <v>38500000</v>
      </c>
      <c r="N1619" s="28">
        <v>38500000</v>
      </c>
    </row>
    <row r="1620" spans="1:14" s="20" customFormat="1">
      <c r="A1620" s="253"/>
      <c r="B1620" s="231"/>
      <c r="C1620" s="32" t="s">
        <v>47</v>
      </c>
      <c r="D1620" s="77">
        <v>22020201</v>
      </c>
      <c r="E1620" s="135" t="s">
        <v>849</v>
      </c>
      <c r="F1620" s="136">
        <v>47664000</v>
      </c>
      <c r="G1620" s="28">
        <v>40664000</v>
      </c>
      <c r="H1620" s="28"/>
      <c r="I1620" s="28"/>
      <c r="J1620" s="28">
        <v>40664000</v>
      </c>
      <c r="K1620" s="488">
        <f t="shared" si="288"/>
        <v>1781083.2</v>
      </c>
      <c r="L1620" s="469">
        <v>38882916.800000004</v>
      </c>
      <c r="M1620" s="28">
        <v>47664000</v>
      </c>
      <c r="N1620" s="28">
        <v>47664000</v>
      </c>
    </row>
    <row r="1621" spans="1:14" s="20" customFormat="1">
      <c r="A1621" s="253"/>
      <c r="B1621" s="231"/>
      <c r="C1621" s="32" t="s">
        <v>47</v>
      </c>
      <c r="D1621" s="77">
        <v>22020203</v>
      </c>
      <c r="E1621" s="135" t="s">
        <v>779</v>
      </c>
      <c r="F1621" s="136">
        <v>10860000</v>
      </c>
      <c r="G1621" s="28">
        <v>10860000</v>
      </c>
      <c r="H1621" s="28"/>
      <c r="I1621" s="28"/>
      <c r="J1621" s="28">
        <v>10860000</v>
      </c>
      <c r="K1621" s="488">
        <f t="shared" si="288"/>
        <v>475668</v>
      </c>
      <c r="L1621" s="469">
        <v>10384332</v>
      </c>
      <c r="M1621" s="28">
        <v>10860000</v>
      </c>
      <c r="N1621" s="28">
        <v>10860000</v>
      </c>
    </row>
    <row r="1622" spans="1:14" s="20" customFormat="1">
      <c r="A1622" s="253"/>
      <c r="B1622" s="231"/>
      <c r="C1622" s="32" t="s">
        <v>47</v>
      </c>
      <c r="D1622" s="77">
        <v>22020204</v>
      </c>
      <c r="E1622" s="135" t="s">
        <v>780</v>
      </c>
      <c r="F1622" s="136">
        <v>3500000</v>
      </c>
      <c r="G1622" s="28">
        <v>3500000</v>
      </c>
      <c r="H1622" s="28"/>
      <c r="I1622" s="28"/>
      <c r="J1622" s="28">
        <v>3500000</v>
      </c>
      <c r="K1622" s="488">
        <f t="shared" si="288"/>
        <v>153300</v>
      </c>
      <c r="L1622" s="469">
        <v>3346700</v>
      </c>
      <c r="M1622" s="28">
        <v>3500000</v>
      </c>
      <c r="N1622" s="28">
        <v>3500000</v>
      </c>
    </row>
    <row r="1623" spans="1:14" s="20" customFormat="1">
      <c r="A1623" s="253"/>
      <c r="B1623" s="231"/>
      <c r="C1623" s="32" t="s">
        <v>47</v>
      </c>
      <c r="D1623" s="77">
        <v>22020205</v>
      </c>
      <c r="E1623" s="135" t="s">
        <v>850</v>
      </c>
      <c r="F1623" s="136">
        <v>9000000</v>
      </c>
      <c r="G1623" s="28">
        <v>9000000</v>
      </c>
      <c r="H1623" s="28"/>
      <c r="I1623" s="28"/>
      <c r="J1623" s="28">
        <v>9000000</v>
      </c>
      <c r="K1623" s="488">
        <f t="shared" si="288"/>
        <v>394200</v>
      </c>
      <c r="L1623" s="469">
        <v>8605800</v>
      </c>
      <c r="M1623" s="28">
        <v>9000000</v>
      </c>
      <c r="N1623" s="28">
        <v>9000000</v>
      </c>
    </row>
    <row r="1624" spans="1:14" s="20" customFormat="1">
      <c r="A1624" s="253"/>
      <c r="B1624" s="231"/>
      <c r="C1624" s="32" t="s">
        <v>47</v>
      </c>
      <c r="D1624" s="77">
        <v>22020208</v>
      </c>
      <c r="E1624" s="135" t="s">
        <v>799</v>
      </c>
      <c r="F1624" s="136">
        <v>5500000</v>
      </c>
      <c r="G1624" s="28">
        <v>5500000</v>
      </c>
      <c r="H1624" s="28"/>
      <c r="I1624" s="28"/>
      <c r="J1624" s="28">
        <v>5500000</v>
      </c>
      <c r="K1624" s="488">
        <f t="shared" si="288"/>
        <v>240900</v>
      </c>
      <c r="L1624" s="469">
        <v>5259100</v>
      </c>
      <c r="M1624" s="28">
        <v>5500000</v>
      </c>
      <c r="N1624" s="28">
        <v>5500000</v>
      </c>
    </row>
    <row r="1625" spans="1:14" s="20" customFormat="1">
      <c r="A1625" s="253"/>
      <c r="B1625" s="231"/>
      <c r="C1625" s="32" t="s">
        <v>47</v>
      </c>
      <c r="D1625" s="77">
        <v>22020209</v>
      </c>
      <c r="E1625" s="135" t="s">
        <v>750</v>
      </c>
      <c r="F1625" s="136">
        <v>2520000</v>
      </c>
      <c r="G1625" s="28">
        <v>2520000</v>
      </c>
      <c r="H1625" s="28"/>
      <c r="I1625" s="28"/>
      <c r="J1625" s="28">
        <v>2520000</v>
      </c>
      <c r="K1625" s="488">
        <f t="shared" si="288"/>
        <v>110376</v>
      </c>
      <c r="L1625" s="469">
        <v>2409624</v>
      </c>
      <c r="M1625" s="28">
        <v>2520000</v>
      </c>
      <c r="N1625" s="28">
        <v>2520000</v>
      </c>
    </row>
    <row r="1626" spans="1:14" s="20" customFormat="1">
      <c r="A1626" s="253"/>
      <c r="B1626" s="231"/>
      <c r="C1626" s="32" t="s">
        <v>47</v>
      </c>
      <c r="D1626" s="77">
        <v>22020301</v>
      </c>
      <c r="E1626" s="135" t="s">
        <v>737</v>
      </c>
      <c r="F1626" s="136">
        <v>40525000</v>
      </c>
      <c r="G1626" s="28">
        <v>30525000</v>
      </c>
      <c r="H1626" s="28"/>
      <c r="I1626" s="28"/>
      <c r="J1626" s="28">
        <v>30525000</v>
      </c>
      <c r="K1626" s="488">
        <f t="shared" si="288"/>
        <v>1336995</v>
      </c>
      <c r="L1626" s="469">
        <v>29188005</v>
      </c>
      <c r="M1626" s="28">
        <v>40525000</v>
      </c>
      <c r="N1626" s="28">
        <v>40525000</v>
      </c>
    </row>
    <row r="1627" spans="1:14" s="20" customFormat="1">
      <c r="A1627" s="253"/>
      <c r="B1627" s="231"/>
      <c r="C1627" s="32" t="s">
        <v>47</v>
      </c>
      <c r="D1627" s="77">
        <v>22020303</v>
      </c>
      <c r="E1627" s="135" t="s">
        <v>738</v>
      </c>
      <c r="F1627" s="136">
        <v>1800000</v>
      </c>
      <c r="G1627" s="28">
        <v>1800000</v>
      </c>
      <c r="H1627" s="28"/>
      <c r="I1627" s="28"/>
      <c r="J1627" s="28">
        <v>1800000</v>
      </c>
      <c r="K1627" s="488">
        <f t="shared" si="288"/>
        <v>78840</v>
      </c>
      <c r="L1627" s="469">
        <v>1721160</v>
      </c>
      <c r="M1627" s="28">
        <v>1800000</v>
      </c>
      <c r="N1627" s="28">
        <v>1800000</v>
      </c>
    </row>
    <row r="1628" spans="1:14" s="20" customFormat="1">
      <c r="A1628" s="253"/>
      <c r="B1628" s="231"/>
      <c r="C1628" s="32" t="s">
        <v>47</v>
      </c>
      <c r="D1628" s="77">
        <v>22020305</v>
      </c>
      <c r="E1628" s="135" t="s">
        <v>755</v>
      </c>
      <c r="F1628" s="136">
        <v>8000000</v>
      </c>
      <c r="G1628" s="28">
        <v>8000000</v>
      </c>
      <c r="H1628" s="28"/>
      <c r="I1628" s="28"/>
      <c r="J1628" s="28">
        <v>8000000</v>
      </c>
      <c r="K1628" s="488">
        <f t="shared" si="288"/>
        <v>350400</v>
      </c>
      <c r="L1628" s="469">
        <v>7649600</v>
      </c>
      <c r="M1628" s="28">
        <v>8000000</v>
      </c>
      <c r="N1628" s="28">
        <v>8000000</v>
      </c>
    </row>
    <row r="1629" spans="1:14" s="20" customFormat="1">
      <c r="A1629" s="253"/>
      <c r="B1629" s="231"/>
      <c r="C1629" s="32" t="s">
        <v>47</v>
      </c>
      <c r="D1629" s="77">
        <v>22020306</v>
      </c>
      <c r="E1629" s="135" t="s">
        <v>765</v>
      </c>
      <c r="F1629" s="136">
        <v>2500000</v>
      </c>
      <c r="G1629" s="28">
        <v>2500000</v>
      </c>
      <c r="H1629" s="28"/>
      <c r="I1629" s="28"/>
      <c r="J1629" s="28">
        <v>2500000</v>
      </c>
      <c r="K1629" s="488">
        <f t="shared" si="288"/>
        <v>109500</v>
      </c>
      <c r="L1629" s="469">
        <v>2390500</v>
      </c>
      <c r="M1629" s="28">
        <v>2500000</v>
      </c>
      <c r="N1629" s="28">
        <v>2500000</v>
      </c>
    </row>
    <row r="1630" spans="1:14" s="20" customFormat="1">
      <c r="A1630" s="253"/>
      <c r="B1630" s="231"/>
      <c r="C1630" s="32" t="s">
        <v>47</v>
      </c>
      <c r="D1630" s="77">
        <v>22020307</v>
      </c>
      <c r="E1630" s="135" t="s">
        <v>822</v>
      </c>
      <c r="F1630" s="136">
        <v>30000000</v>
      </c>
      <c r="G1630" s="28">
        <v>17000000</v>
      </c>
      <c r="H1630" s="28"/>
      <c r="I1630" s="28"/>
      <c r="J1630" s="28">
        <v>17000000</v>
      </c>
      <c r="K1630" s="488">
        <f t="shared" si="288"/>
        <v>744600</v>
      </c>
      <c r="L1630" s="469">
        <v>16255400</v>
      </c>
      <c r="M1630" s="28">
        <v>30000000</v>
      </c>
      <c r="N1630" s="28">
        <v>30000000</v>
      </c>
    </row>
    <row r="1631" spans="1:14" s="20" customFormat="1">
      <c r="A1631" s="253"/>
      <c r="B1631" s="231"/>
      <c r="C1631" s="32" t="s">
        <v>47</v>
      </c>
      <c r="D1631" s="77">
        <v>22020312</v>
      </c>
      <c r="E1631" s="135" t="s">
        <v>797</v>
      </c>
      <c r="F1631" s="136">
        <v>3750000</v>
      </c>
      <c r="G1631" s="28">
        <v>3750000</v>
      </c>
      <c r="H1631" s="28"/>
      <c r="I1631" s="28"/>
      <c r="J1631" s="28">
        <v>3750000</v>
      </c>
      <c r="K1631" s="488">
        <f t="shared" si="288"/>
        <v>164250</v>
      </c>
      <c r="L1631" s="469">
        <v>3585750</v>
      </c>
      <c r="M1631" s="28">
        <v>3750000</v>
      </c>
      <c r="N1631" s="28">
        <v>3750000</v>
      </c>
    </row>
    <row r="1632" spans="1:14" s="20" customFormat="1">
      <c r="A1632" s="253"/>
      <c r="B1632" s="231"/>
      <c r="C1632" s="32" t="s">
        <v>47</v>
      </c>
      <c r="D1632" s="77">
        <v>22020315</v>
      </c>
      <c r="E1632" s="135" t="s">
        <v>740</v>
      </c>
      <c r="F1632" s="136">
        <v>10450000</v>
      </c>
      <c r="G1632" s="28">
        <v>10450000</v>
      </c>
      <c r="H1632" s="28"/>
      <c r="I1632" s="28"/>
      <c r="J1632" s="28">
        <v>10450000</v>
      </c>
      <c r="K1632" s="488">
        <f t="shared" si="288"/>
        <v>457710</v>
      </c>
      <c r="L1632" s="469">
        <v>9992290</v>
      </c>
      <c r="M1632" s="28">
        <v>10450000</v>
      </c>
      <c r="N1632" s="28">
        <v>10450000</v>
      </c>
    </row>
    <row r="1633" spans="1:14" s="20" customFormat="1">
      <c r="A1633" s="253"/>
      <c r="B1633" s="231"/>
      <c r="C1633" s="32" t="s">
        <v>47</v>
      </c>
      <c r="D1633" s="77">
        <v>22020401</v>
      </c>
      <c r="E1633" s="135" t="s">
        <v>741</v>
      </c>
      <c r="F1633" s="136">
        <v>3180000</v>
      </c>
      <c r="G1633" s="28">
        <v>3180000</v>
      </c>
      <c r="H1633" s="28"/>
      <c r="I1633" s="28"/>
      <c r="J1633" s="28">
        <v>3180000</v>
      </c>
      <c r="K1633" s="488">
        <f t="shared" si="288"/>
        <v>139284</v>
      </c>
      <c r="L1633" s="469">
        <v>3040716</v>
      </c>
      <c r="M1633" s="28">
        <v>3180000</v>
      </c>
      <c r="N1633" s="28">
        <v>3180000</v>
      </c>
    </row>
    <row r="1634" spans="1:14" s="20" customFormat="1">
      <c r="A1634" s="253"/>
      <c r="B1634" s="231"/>
      <c r="C1634" s="32" t="s">
        <v>47</v>
      </c>
      <c r="D1634" s="77">
        <v>22020402</v>
      </c>
      <c r="E1634" s="135" t="s">
        <v>757</v>
      </c>
      <c r="F1634" s="136">
        <v>6300000</v>
      </c>
      <c r="G1634" s="28">
        <v>6300000</v>
      </c>
      <c r="H1634" s="28"/>
      <c r="I1634" s="28"/>
      <c r="J1634" s="28">
        <v>6300000</v>
      </c>
      <c r="K1634" s="488">
        <f t="shared" si="288"/>
        <v>275940</v>
      </c>
      <c r="L1634" s="469">
        <v>6024060</v>
      </c>
      <c r="M1634" s="28">
        <v>6300000</v>
      </c>
      <c r="N1634" s="28">
        <v>6300000</v>
      </c>
    </row>
    <row r="1635" spans="1:14" s="20" customFormat="1">
      <c r="A1635" s="253"/>
      <c r="B1635" s="231"/>
      <c r="C1635" s="32" t="s">
        <v>47</v>
      </c>
      <c r="D1635" s="77">
        <v>22020403</v>
      </c>
      <c r="E1635" s="135" t="s">
        <v>781</v>
      </c>
      <c r="F1635" s="136">
        <v>21000000</v>
      </c>
      <c r="G1635" s="28">
        <v>5000000</v>
      </c>
      <c r="H1635" s="28"/>
      <c r="I1635" s="28"/>
      <c r="J1635" s="28">
        <v>5000000</v>
      </c>
      <c r="K1635" s="488">
        <f t="shared" si="288"/>
        <v>219000</v>
      </c>
      <c r="L1635" s="469">
        <v>4781000</v>
      </c>
      <c r="M1635" s="28">
        <v>21000000</v>
      </c>
      <c r="N1635" s="28">
        <v>21000000</v>
      </c>
    </row>
    <row r="1636" spans="1:14" s="20" customFormat="1">
      <c r="A1636" s="253"/>
      <c r="B1636" s="231"/>
      <c r="C1636" s="32" t="s">
        <v>47</v>
      </c>
      <c r="D1636" s="77">
        <v>22020404</v>
      </c>
      <c r="E1636" s="135" t="s">
        <v>742</v>
      </c>
      <c r="F1636" s="136">
        <v>4900000</v>
      </c>
      <c r="G1636" s="28">
        <v>4900000</v>
      </c>
      <c r="H1636" s="28"/>
      <c r="I1636" s="28"/>
      <c r="J1636" s="28">
        <v>4900000</v>
      </c>
      <c r="K1636" s="488">
        <f t="shared" si="288"/>
        <v>214620</v>
      </c>
      <c r="L1636" s="469">
        <v>4685380</v>
      </c>
      <c r="M1636" s="28">
        <v>4900000</v>
      </c>
      <c r="N1636" s="28">
        <v>4900000</v>
      </c>
    </row>
    <row r="1637" spans="1:14" s="20" customFormat="1">
      <c r="A1637" s="253"/>
      <c r="B1637" s="231"/>
      <c r="C1637" s="32" t="s">
        <v>47</v>
      </c>
      <c r="D1637" s="77">
        <v>22020405</v>
      </c>
      <c r="E1637" s="135" t="s">
        <v>743</v>
      </c>
      <c r="F1637" s="136">
        <v>5500000</v>
      </c>
      <c r="G1637" s="28">
        <v>5500000</v>
      </c>
      <c r="H1637" s="28"/>
      <c r="I1637" s="28"/>
      <c r="J1637" s="28">
        <v>5500000</v>
      </c>
      <c r="K1637" s="488">
        <f t="shared" si="288"/>
        <v>240900</v>
      </c>
      <c r="L1637" s="469">
        <v>5259100</v>
      </c>
      <c r="M1637" s="28">
        <v>5500000</v>
      </c>
      <c r="N1637" s="28">
        <v>5500000</v>
      </c>
    </row>
    <row r="1638" spans="1:14" s="20" customFormat="1">
      <c r="A1638" s="253"/>
      <c r="B1638" s="231"/>
      <c r="C1638" s="32" t="s">
        <v>47</v>
      </c>
      <c r="D1638" s="77">
        <v>22020416</v>
      </c>
      <c r="E1638" s="135" t="s">
        <v>782</v>
      </c>
      <c r="F1638" s="136">
        <v>5340000</v>
      </c>
      <c r="G1638" s="28">
        <v>5340000</v>
      </c>
      <c r="H1638" s="28"/>
      <c r="I1638" s="28"/>
      <c r="J1638" s="28">
        <v>5340000</v>
      </c>
      <c r="K1638" s="488">
        <f t="shared" si="288"/>
        <v>233892</v>
      </c>
      <c r="L1638" s="469">
        <v>5106108</v>
      </c>
      <c r="M1638" s="28">
        <v>5340000</v>
      </c>
      <c r="N1638" s="28">
        <v>5340000</v>
      </c>
    </row>
    <row r="1639" spans="1:14" s="20" customFormat="1">
      <c r="A1639" s="253"/>
      <c r="B1639" s="231"/>
      <c r="C1639" s="32" t="s">
        <v>47</v>
      </c>
      <c r="D1639" s="77">
        <v>22020504</v>
      </c>
      <c r="E1639" s="135" t="s">
        <v>897</v>
      </c>
      <c r="F1639" s="136">
        <v>26000000</v>
      </c>
      <c r="G1639" s="28">
        <v>15000000</v>
      </c>
      <c r="H1639" s="28"/>
      <c r="I1639" s="28"/>
      <c r="J1639" s="28">
        <v>15000000</v>
      </c>
      <c r="K1639" s="488">
        <f t="shared" si="288"/>
        <v>657000</v>
      </c>
      <c r="L1639" s="469">
        <v>14343000</v>
      </c>
      <c r="M1639" s="28">
        <v>52000000</v>
      </c>
      <c r="N1639" s="28">
        <v>52000000</v>
      </c>
    </row>
    <row r="1640" spans="1:14" s="20" customFormat="1">
      <c r="A1640" s="253"/>
      <c r="B1640" s="231"/>
      <c r="C1640" s="32" t="s">
        <v>47</v>
      </c>
      <c r="D1640" s="77">
        <v>22020601</v>
      </c>
      <c r="E1640" s="135" t="s">
        <v>766</v>
      </c>
      <c r="F1640" s="136">
        <v>6000000</v>
      </c>
      <c r="G1640" s="28">
        <v>6000000</v>
      </c>
      <c r="H1640" s="28"/>
      <c r="I1640" s="28"/>
      <c r="J1640" s="28">
        <v>6000000</v>
      </c>
      <c r="K1640" s="488">
        <f t="shared" si="288"/>
        <v>262800</v>
      </c>
      <c r="L1640" s="469">
        <v>5737200</v>
      </c>
      <c r="M1640" s="28">
        <v>6000000</v>
      </c>
      <c r="N1640" s="28">
        <v>6000000</v>
      </c>
    </row>
    <row r="1641" spans="1:14" s="20" customFormat="1">
      <c r="A1641" s="253"/>
      <c r="B1641" s="231"/>
      <c r="C1641" s="32" t="s">
        <v>47</v>
      </c>
      <c r="D1641" s="77">
        <v>22020703</v>
      </c>
      <c r="E1641" s="135" t="s">
        <v>770</v>
      </c>
      <c r="F1641" s="136">
        <v>8000000</v>
      </c>
      <c r="G1641" s="28">
        <v>8000000</v>
      </c>
      <c r="H1641" s="28"/>
      <c r="I1641" s="28"/>
      <c r="J1641" s="28">
        <v>8000000</v>
      </c>
      <c r="K1641" s="488">
        <f t="shared" si="288"/>
        <v>350400</v>
      </c>
      <c r="L1641" s="469">
        <v>7649600</v>
      </c>
      <c r="M1641" s="28">
        <v>8000000</v>
      </c>
      <c r="N1641" s="28">
        <v>8000000</v>
      </c>
    </row>
    <row r="1642" spans="1:14" s="20" customFormat="1">
      <c r="A1642" s="253"/>
      <c r="B1642" s="231"/>
      <c r="C1642" s="32" t="s">
        <v>47</v>
      </c>
      <c r="D1642" s="77">
        <v>22020704</v>
      </c>
      <c r="E1642" s="135" t="s">
        <v>937</v>
      </c>
      <c r="F1642" s="136">
        <v>1500000</v>
      </c>
      <c r="G1642" s="28">
        <v>1500000</v>
      </c>
      <c r="H1642" s="28"/>
      <c r="I1642" s="28"/>
      <c r="J1642" s="28">
        <v>1500000</v>
      </c>
      <c r="K1642" s="488">
        <f t="shared" si="288"/>
        <v>65700</v>
      </c>
      <c r="L1642" s="469">
        <v>1434300</v>
      </c>
      <c r="M1642" s="28">
        <v>1500000</v>
      </c>
      <c r="N1642" s="28">
        <v>1500000</v>
      </c>
    </row>
    <row r="1643" spans="1:14" s="20" customFormat="1">
      <c r="A1643" s="253"/>
      <c r="B1643" s="231"/>
      <c r="C1643" s="32" t="s">
        <v>47</v>
      </c>
      <c r="D1643" s="77">
        <v>22020706</v>
      </c>
      <c r="E1643" s="135" t="s">
        <v>901</v>
      </c>
      <c r="F1643" s="136">
        <v>1500000</v>
      </c>
      <c r="G1643" s="28">
        <v>1500000</v>
      </c>
      <c r="H1643" s="28"/>
      <c r="I1643" s="28"/>
      <c r="J1643" s="28">
        <v>1500000</v>
      </c>
      <c r="K1643" s="488">
        <f t="shared" si="288"/>
        <v>65700</v>
      </c>
      <c r="L1643" s="469">
        <v>1434300</v>
      </c>
      <c r="M1643" s="28">
        <v>1500000</v>
      </c>
      <c r="N1643" s="28">
        <v>1500000</v>
      </c>
    </row>
    <row r="1644" spans="1:14" s="20" customFormat="1">
      <c r="A1644" s="253"/>
      <c r="B1644" s="231"/>
      <c r="C1644" s="32" t="s">
        <v>47</v>
      </c>
      <c r="D1644" s="77">
        <v>22020709</v>
      </c>
      <c r="E1644" s="135" t="s">
        <v>771</v>
      </c>
      <c r="F1644" s="136">
        <v>1500000</v>
      </c>
      <c r="G1644" s="28">
        <v>1500000</v>
      </c>
      <c r="H1644" s="28"/>
      <c r="I1644" s="28"/>
      <c r="J1644" s="28">
        <v>1500000</v>
      </c>
      <c r="K1644" s="488">
        <f t="shared" si="288"/>
        <v>65700</v>
      </c>
      <c r="L1644" s="469">
        <v>1434300</v>
      </c>
      <c r="M1644" s="28">
        <v>1500000</v>
      </c>
      <c r="N1644" s="28">
        <v>1500000</v>
      </c>
    </row>
    <row r="1645" spans="1:14" s="20" customFormat="1">
      <c r="A1645" s="253"/>
      <c r="B1645" s="231"/>
      <c r="C1645" s="32" t="s">
        <v>47</v>
      </c>
      <c r="D1645" s="77">
        <v>22020711</v>
      </c>
      <c r="E1645" s="135" t="s">
        <v>998</v>
      </c>
      <c r="F1645" s="136">
        <v>60320000</v>
      </c>
      <c r="G1645" s="28">
        <v>60320000</v>
      </c>
      <c r="H1645" s="28"/>
      <c r="I1645" s="28"/>
      <c r="J1645" s="28">
        <v>60320000</v>
      </c>
      <c r="K1645" s="488">
        <f t="shared" si="288"/>
        <v>2642016</v>
      </c>
      <c r="L1645" s="469">
        <v>57677984</v>
      </c>
      <c r="M1645" s="28">
        <v>60320000</v>
      </c>
      <c r="N1645" s="28">
        <v>60320000</v>
      </c>
    </row>
    <row r="1646" spans="1:14" s="20" customFormat="1">
      <c r="A1646" s="253"/>
      <c r="B1646" s="231"/>
      <c r="C1646" s="32" t="s">
        <v>47</v>
      </c>
      <c r="D1646" s="77">
        <v>22020712</v>
      </c>
      <c r="E1646" s="135" t="s">
        <v>984</v>
      </c>
      <c r="F1646" s="136">
        <v>1250000</v>
      </c>
      <c r="G1646" s="28">
        <v>1250000</v>
      </c>
      <c r="H1646" s="28"/>
      <c r="I1646" s="28"/>
      <c r="J1646" s="28">
        <v>1250000</v>
      </c>
      <c r="K1646" s="488">
        <f t="shared" si="288"/>
        <v>54750</v>
      </c>
      <c r="L1646" s="469">
        <v>1195250</v>
      </c>
      <c r="M1646" s="28">
        <v>1250000</v>
      </c>
      <c r="N1646" s="28">
        <v>1250000</v>
      </c>
    </row>
    <row r="1647" spans="1:14" s="20" customFormat="1">
      <c r="A1647" s="253"/>
      <c r="B1647" s="231"/>
      <c r="C1647" s="32" t="s">
        <v>47</v>
      </c>
      <c r="D1647" s="77">
        <v>22020801</v>
      </c>
      <c r="E1647" s="135" t="s">
        <v>747</v>
      </c>
      <c r="F1647" s="136">
        <v>9000000</v>
      </c>
      <c r="G1647" s="28">
        <v>9000000</v>
      </c>
      <c r="H1647" s="28"/>
      <c r="I1647" s="28"/>
      <c r="J1647" s="28">
        <v>9000000</v>
      </c>
      <c r="K1647" s="488">
        <f t="shared" si="288"/>
        <v>394200</v>
      </c>
      <c r="L1647" s="469">
        <v>8605800</v>
      </c>
      <c r="M1647" s="28">
        <v>9000000</v>
      </c>
      <c r="N1647" s="28">
        <v>9000000</v>
      </c>
    </row>
    <row r="1648" spans="1:14" s="20" customFormat="1">
      <c r="A1648" s="253"/>
      <c r="B1648" s="231"/>
      <c r="C1648" s="32" t="s">
        <v>47</v>
      </c>
      <c r="D1648" s="77">
        <v>22020803</v>
      </c>
      <c r="E1648" s="135" t="s">
        <v>748</v>
      </c>
      <c r="F1648" s="136">
        <v>12600000</v>
      </c>
      <c r="G1648" s="28">
        <v>12600000</v>
      </c>
      <c r="H1648" s="28"/>
      <c r="I1648" s="28"/>
      <c r="J1648" s="28">
        <v>12600000</v>
      </c>
      <c r="K1648" s="488">
        <f t="shared" si="288"/>
        <v>551880</v>
      </c>
      <c r="L1648" s="469">
        <v>12048120</v>
      </c>
      <c r="M1648" s="28">
        <v>12600000</v>
      </c>
      <c r="N1648" s="28">
        <v>12600000</v>
      </c>
    </row>
    <row r="1649" spans="1:14" s="20" customFormat="1">
      <c r="A1649" s="253"/>
      <c r="B1649" s="231"/>
      <c r="C1649" s="32" t="s">
        <v>47</v>
      </c>
      <c r="D1649" s="77">
        <v>22020902</v>
      </c>
      <c r="E1649" s="135" t="s">
        <v>853</v>
      </c>
      <c r="F1649" s="136">
        <v>59648000</v>
      </c>
      <c r="G1649" s="28">
        <v>49648000</v>
      </c>
      <c r="H1649" s="28"/>
      <c r="I1649" s="28"/>
      <c r="J1649" s="28">
        <v>49648000</v>
      </c>
      <c r="K1649" s="488">
        <f t="shared" si="288"/>
        <v>2174582.4</v>
      </c>
      <c r="L1649" s="469">
        <v>47473417.600000001</v>
      </c>
      <c r="M1649" s="28">
        <v>59648000</v>
      </c>
      <c r="N1649" s="28">
        <v>59648000</v>
      </c>
    </row>
    <row r="1650" spans="1:14" s="20" customFormat="1">
      <c r="A1650" s="253"/>
      <c r="B1650" s="231"/>
      <c r="C1650" s="32" t="s">
        <v>47</v>
      </c>
      <c r="D1650" s="77">
        <v>22021001</v>
      </c>
      <c r="E1650" s="135" t="s">
        <v>772</v>
      </c>
      <c r="F1650" s="136">
        <v>6341400</v>
      </c>
      <c r="G1650" s="28">
        <v>6341400</v>
      </c>
      <c r="H1650" s="28"/>
      <c r="I1650" s="28"/>
      <c r="J1650" s="28">
        <v>6341400</v>
      </c>
      <c r="K1650" s="488">
        <f t="shared" si="288"/>
        <v>277753.32</v>
      </c>
      <c r="L1650" s="469">
        <v>6063646.6800000006</v>
      </c>
      <c r="M1650" s="28">
        <v>6341400</v>
      </c>
      <c r="N1650" s="28">
        <v>6341400</v>
      </c>
    </row>
    <row r="1651" spans="1:14" s="20" customFormat="1">
      <c r="A1651" s="253"/>
      <c r="B1651" s="231"/>
      <c r="C1651" s="32" t="s">
        <v>47</v>
      </c>
      <c r="D1651" s="77">
        <v>22021002</v>
      </c>
      <c r="E1651" s="135" t="s">
        <v>805</v>
      </c>
      <c r="F1651" s="136">
        <v>22600000</v>
      </c>
      <c r="G1651" s="28">
        <v>9050000</v>
      </c>
      <c r="H1651" s="28"/>
      <c r="I1651" s="28"/>
      <c r="J1651" s="28">
        <v>9050000</v>
      </c>
      <c r="K1651" s="488">
        <f t="shared" si="288"/>
        <v>396390</v>
      </c>
      <c r="L1651" s="469">
        <v>8653610</v>
      </c>
      <c r="M1651" s="28">
        <v>22600000</v>
      </c>
      <c r="N1651" s="28">
        <v>22600000</v>
      </c>
    </row>
    <row r="1652" spans="1:14" s="20" customFormat="1">
      <c r="A1652" s="253"/>
      <c r="B1652" s="231"/>
      <c r="C1652" s="32" t="s">
        <v>47</v>
      </c>
      <c r="D1652" s="77">
        <v>22021003</v>
      </c>
      <c r="E1652" s="135" t="s">
        <v>760</v>
      </c>
      <c r="F1652" s="136">
        <v>3090000</v>
      </c>
      <c r="G1652" s="28">
        <v>3090000</v>
      </c>
      <c r="H1652" s="28"/>
      <c r="I1652" s="28"/>
      <c r="J1652" s="28">
        <v>3090000</v>
      </c>
      <c r="K1652" s="488">
        <f t="shared" si="288"/>
        <v>135342</v>
      </c>
      <c r="L1652" s="469">
        <v>2954658</v>
      </c>
      <c r="M1652" s="28">
        <v>3090000</v>
      </c>
      <c r="N1652" s="28">
        <v>3090000</v>
      </c>
    </row>
    <row r="1653" spans="1:14" s="20" customFormat="1">
      <c r="A1653" s="253"/>
      <c r="B1653" s="231"/>
      <c r="C1653" s="32" t="s">
        <v>47</v>
      </c>
      <c r="D1653" s="77">
        <v>22021007</v>
      </c>
      <c r="E1653" s="135" t="s">
        <v>856</v>
      </c>
      <c r="F1653" s="136">
        <v>6000000</v>
      </c>
      <c r="G1653" s="28">
        <v>6000000</v>
      </c>
      <c r="H1653" s="28"/>
      <c r="I1653" s="28"/>
      <c r="J1653" s="28">
        <v>6000000</v>
      </c>
      <c r="K1653" s="488">
        <f t="shared" si="288"/>
        <v>262800</v>
      </c>
      <c r="L1653" s="469">
        <v>5737200</v>
      </c>
      <c r="M1653" s="28">
        <v>6000000</v>
      </c>
      <c r="N1653" s="28">
        <v>6000000</v>
      </c>
    </row>
    <row r="1654" spans="1:14" s="20" customFormat="1">
      <c r="A1654" s="253"/>
      <c r="B1654" s="231"/>
      <c r="C1654" s="32" t="s">
        <v>47</v>
      </c>
      <c r="D1654" s="77">
        <v>22021008</v>
      </c>
      <c r="E1654" s="135" t="s">
        <v>784</v>
      </c>
      <c r="F1654" s="136">
        <v>2500000</v>
      </c>
      <c r="G1654" s="28">
        <v>2500000</v>
      </c>
      <c r="H1654" s="28"/>
      <c r="I1654" s="28"/>
      <c r="J1654" s="28">
        <v>2500000</v>
      </c>
      <c r="K1654" s="488">
        <f t="shared" si="288"/>
        <v>109500</v>
      </c>
      <c r="L1654" s="469">
        <v>2390500</v>
      </c>
      <c r="M1654" s="28">
        <v>2500000</v>
      </c>
      <c r="N1654" s="28">
        <v>2500000</v>
      </c>
    </row>
    <row r="1655" spans="1:14" s="20" customFormat="1">
      <c r="A1655" s="253"/>
      <c r="B1655" s="231"/>
      <c r="C1655" s="32" t="s">
        <v>47</v>
      </c>
      <c r="D1655" s="77">
        <v>22021009</v>
      </c>
      <c r="E1655" s="135" t="s">
        <v>873</v>
      </c>
      <c r="F1655" s="136">
        <v>8890000</v>
      </c>
      <c r="G1655" s="28">
        <v>8890000</v>
      </c>
      <c r="H1655" s="28"/>
      <c r="I1655" s="28"/>
      <c r="J1655" s="28">
        <v>8890000</v>
      </c>
      <c r="K1655" s="488">
        <f t="shared" si="288"/>
        <v>389382</v>
      </c>
      <c r="L1655" s="469">
        <v>8500618</v>
      </c>
      <c r="M1655" s="28">
        <v>8890000</v>
      </c>
      <c r="N1655" s="28">
        <v>8890000</v>
      </c>
    </row>
    <row r="1656" spans="1:14" s="20" customFormat="1">
      <c r="A1656" s="253"/>
      <c r="B1656" s="231"/>
      <c r="C1656" s="32" t="s">
        <v>47</v>
      </c>
      <c r="D1656" s="77">
        <v>22021014</v>
      </c>
      <c r="E1656" s="135" t="s">
        <v>800</v>
      </c>
      <c r="F1656" s="136">
        <v>2800000</v>
      </c>
      <c r="G1656" s="28">
        <v>2800000</v>
      </c>
      <c r="H1656" s="28"/>
      <c r="I1656" s="28"/>
      <c r="J1656" s="28">
        <v>2800000</v>
      </c>
      <c r="K1656" s="488">
        <f t="shared" si="288"/>
        <v>122640</v>
      </c>
      <c r="L1656" s="469">
        <v>2677360</v>
      </c>
      <c r="M1656" s="28">
        <v>2800000</v>
      </c>
      <c r="N1656" s="28">
        <v>2800000</v>
      </c>
    </row>
    <row r="1657" spans="1:14" s="20" customFormat="1">
      <c r="A1657" s="253"/>
      <c r="B1657" s="231"/>
      <c r="C1657" s="32" t="s">
        <v>47</v>
      </c>
      <c r="D1657" s="77">
        <v>22021021</v>
      </c>
      <c r="E1657" s="135" t="s">
        <v>832</v>
      </c>
      <c r="F1657" s="136">
        <v>16000000</v>
      </c>
      <c r="G1657" s="28">
        <v>16000000</v>
      </c>
      <c r="H1657" s="28"/>
      <c r="I1657" s="28"/>
      <c r="J1657" s="28">
        <v>16000000</v>
      </c>
      <c r="K1657" s="488">
        <f t="shared" si="288"/>
        <v>700800</v>
      </c>
      <c r="L1657" s="469">
        <v>15299200</v>
      </c>
      <c r="M1657" s="28">
        <v>16000000</v>
      </c>
      <c r="N1657" s="28">
        <v>16000000</v>
      </c>
    </row>
    <row r="1658" spans="1:14" s="20" customFormat="1">
      <c r="A1658" s="253"/>
      <c r="B1658" s="231"/>
      <c r="C1658" s="32" t="s">
        <v>47</v>
      </c>
      <c r="D1658" s="77">
        <v>22021022</v>
      </c>
      <c r="E1658" s="135" t="s">
        <v>815</v>
      </c>
      <c r="F1658" s="136">
        <v>3000000</v>
      </c>
      <c r="G1658" s="28">
        <v>3000000</v>
      </c>
      <c r="H1658" s="28"/>
      <c r="I1658" s="28"/>
      <c r="J1658" s="28">
        <v>3000000</v>
      </c>
      <c r="K1658" s="488">
        <f t="shared" si="288"/>
        <v>131400</v>
      </c>
      <c r="L1658" s="469">
        <v>2868600</v>
      </c>
      <c r="M1658" s="28">
        <v>3000000</v>
      </c>
      <c r="N1658" s="28">
        <v>3000000</v>
      </c>
    </row>
    <row r="1659" spans="1:14" s="20" customFormat="1">
      <c r="A1659" s="253"/>
      <c r="B1659" s="231"/>
      <c r="C1659" s="32" t="s">
        <v>47</v>
      </c>
      <c r="D1659" s="77">
        <v>22021023</v>
      </c>
      <c r="E1659" s="135" t="s">
        <v>761</v>
      </c>
      <c r="F1659" s="136">
        <v>2200000</v>
      </c>
      <c r="G1659" s="28">
        <v>2200000</v>
      </c>
      <c r="H1659" s="28"/>
      <c r="I1659" s="28"/>
      <c r="J1659" s="28">
        <v>2200000</v>
      </c>
      <c r="K1659" s="488">
        <f t="shared" si="288"/>
        <v>96360</v>
      </c>
      <c r="L1659" s="469">
        <v>2103640</v>
      </c>
      <c r="M1659" s="28">
        <v>2200000</v>
      </c>
      <c r="N1659" s="28">
        <v>2200000</v>
      </c>
    </row>
    <row r="1660" spans="1:14" s="20" customFormat="1">
      <c r="A1660" s="253"/>
      <c r="B1660" s="231"/>
      <c r="C1660" s="32" t="s">
        <v>47</v>
      </c>
      <c r="D1660" s="77">
        <v>22021026</v>
      </c>
      <c r="E1660" s="135" t="s">
        <v>751</v>
      </c>
      <c r="F1660" s="136">
        <v>14000000</v>
      </c>
      <c r="G1660" s="28">
        <v>7000000</v>
      </c>
      <c r="H1660" s="28"/>
      <c r="I1660" s="28"/>
      <c r="J1660" s="28">
        <v>7000000</v>
      </c>
      <c r="K1660" s="488">
        <f t="shared" si="288"/>
        <v>306600</v>
      </c>
      <c r="L1660" s="469">
        <v>6693400</v>
      </c>
      <c r="M1660" s="28">
        <v>14000000</v>
      </c>
      <c r="N1660" s="28">
        <v>17500000</v>
      </c>
    </row>
    <row r="1661" spans="1:14" s="20" customFormat="1">
      <c r="A1661" s="253"/>
      <c r="B1661" s="231"/>
      <c r="C1661" s="32" t="s">
        <v>47</v>
      </c>
      <c r="D1661" s="77">
        <v>22021029</v>
      </c>
      <c r="E1661" s="135" t="s">
        <v>867</v>
      </c>
      <c r="F1661" s="136">
        <v>6000000</v>
      </c>
      <c r="G1661" s="28">
        <v>6000000</v>
      </c>
      <c r="H1661" s="28"/>
      <c r="I1661" s="28"/>
      <c r="J1661" s="28">
        <v>6000000</v>
      </c>
      <c r="K1661" s="488">
        <f t="shared" si="288"/>
        <v>262800</v>
      </c>
      <c r="L1661" s="469">
        <v>5737200</v>
      </c>
      <c r="M1661" s="28">
        <v>6000000</v>
      </c>
      <c r="N1661" s="28">
        <v>6000000</v>
      </c>
    </row>
    <row r="1662" spans="1:14" s="20" customFormat="1">
      <c r="A1662" s="253"/>
      <c r="B1662" s="231"/>
      <c r="C1662" s="32" t="s">
        <v>47</v>
      </c>
      <c r="D1662" s="77">
        <v>22021032</v>
      </c>
      <c r="E1662" s="135" t="s">
        <v>801</v>
      </c>
      <c r="F1662" s="136">
        <v>360000</v>
      </c>
      <c r="G1662" s="28">
        <v>360000</v>
      </c>
      <c r="H1662" s="28"/>
      <c r="I1662" s="28"/>
      <c r="J1662" s="28">
        <v>360000</v>
      </c>
      <c r="K1662" s="488">
        <f t="shared" si="288"/>
        <v>15768</v>
      </c>
      <c r="L1662" s="469">
        <v>344232</v>
      </c>
      <c r="M1662" s="28">
        <v>360000</v>
      </c>
      <c r="N1662" s="28">
        <v>360000</v>
      </c>
    </row>
    <row r="1663" spans="1:14" s="20" customFormat="1">
      <c r="A1663" s="253"/>
      <c r="B1663" s="231"/>
      <c r="C1663" s="32" t="s">
        <v>47</v>
      </c>
      <c r="D1663" s="77">
        <v>22021033</v>
      </c>
      <c r="E1663" s="135" t="s">
        <v>1016</v>
      </c>
      <c r="F1663" s="136">
        <v>159500000</v>
      </c>
      <c r="G1663" s="28">
        <v>100500000</v>
      </c>
      <c r="H1663" s="28"/>
      <c r="I1663" s="28"/>
      <c r="J1663" s="28">
        <v>100500000</v>
      </c>
      <c r="K1663" s="488">
        <f t="shared" si="288"/>
        <v>4401900</v>
      </c>
      <c r="L1663" s="469">
        <v>96098100</v>
      </c>
      <c r="M1663" s="28">
        <v>159500000</v>
      </c>
      <c r="N1663" s="28">
        <v>159500000</v>
      </c>
    </row>
    <row r="1664" spans="1:14" s="20" customFormat="1">
      <c r="A1664" s="253"/>
      <c r="B1664" s="231"/>
      <c r="C1664" s="32" t="s">
        <v>47</v>
      </c>
      <c r="D1664" s="77">
        <v>22021036</v>
      </c>
      <c r="E1664" s="135" t="s">
        <v>1012</v>
      </c>
      <c r="F1664" s="136">
        <v>35000000</v>
      </c>
      <c r="G1664" s="28">
        <v>25000000</v>
      </c>
      <c r="H1664" s="28"/>
      <c r="I1664" s="28"/>
      <c r="J1664" s="28">
        <v>25000000</v>
      </c>
      <c r="K1664" s="488">
        <f t="shared" si="288"/>
        <v>1095000</v>
      </c>
      <c r="L1664" s="469">
        <v>23905000</v>
      </c>
      <c r="M1664" s="28">
        <v>35000000</v>
      </c>
      <c r="N1664" s="28">
        <v>35000000</v>
      </c>
    </row>
    <row r="1665" spans="1:14" s="20" customFormat="1">
      <c r="A1665" s="238"/>
      <c r="B1665" s="231"/>
      <c r="C1665" s="30" t="s">
        <v>1837</v>
      </c>
      <c r="D1665" s="23"/>
      <c r="E1665" s="25"/>
      <c r="F1665" s="137">
        <f>SUM(F1617:F1664)</f>
        <v>738780900</v>
      </c>
      <c r="G1665" s="114">
        <f>SUM(G1617:G1664)</f>
        <v>572230900</v>
      </c>
      <c r="H1665" s="114">
        <f t="shared" ref="H1665:I1665" si="289">SUM(H1617:H1664)</f>
        <v>0</v>
      </c>
      <c r="I1665" s="114">
        <f t="shared" si="289"/>
        <v>0</v>
      </c>
      <c r="J1665" s="114">
        <f>SUM(J1617:J1664)</f>
        <v>572230900</v>
      </c>
      <c r="K1665" s="490">
        <f t="shared" si="288"/>
        <v>25063713.419999998</v>
      </c>
      <c r="L1665" s="468">
        <f>SUM(L1617:L1664)</f>
        <v>547167186.58000004</v>
      </c>
      <c r="M1665" s="114">
        <f>SUM(M1617:M1664)</f>
        <v>785793400</v>
      </c>
      <c r="N1665" s="114">
        <f>SUM(N1617:N1664)</f>
        <v>789533400</v>
      </c>
    </row>
    <row r="1666" spans="1:14" s="66" customFormat="1">
      <c r="A1666" s="238" t="s">
        <v>1014</v>
      </c>
      <c r="B1666" s="231" t="s">
        <v>1806</v>
      </c>
      <c r="C1666" s="30"/>
      <c r="D1666" s="23"/>
      <c r="E1666" s="25"/>
      <c r="F1666" s="137">
        <f>F1665+F1616</f>
        <v>3349465763.2399998</v>
      </c>
      <c r="G1666" s="114">
        <f>G1665+G1616</f>
        <v>3182915763.2399998</v>
      </c>
      <c r="H1666" s="114">
        <f t="shared" ref="H1666:I1666" si="290">H1665+H1616</f>
        <v>254416446</v>
      </c>
      <c r="I1666" s="114">
        <f t="shared" si="290"/>
        <v>0</v>
      </c>
      <c r="J1666" s="114">
        <f>J1665+J1616</f>
        <v>3437332209.2399998</v>
      </c>
      <c r="K1666" s="490"/>
      <c r="L1666" s="468">
        <f>L1665+L1616</f>
        <v>3412268495.8199997</v>
      </c>
      <c r="M1666" s="114">
        <f>M1665+M1616</f>
        <v>3657546749.5639997</v>
      </c>
      <c r="N1666" s="114">
        <f>N1665+N1616</f>
        <v>3948462084.5203996</v>
      </c>
    </row>
    <row r="1667" spans="1:14" s="20" customFormat="1" ht="21">
      <c r="A1667" s="252"/>
      <c r="B1667" s="443"/>
      <c r="C1667" s="228"/>
      <c r="D1667" s="229"/>
      <c r="E1667" s="230"/>
      <c r="F1667" s="215"/>
      <c r="G1667" s="296"/>
      <c r="H1667" s="296"/>
      <c r="I1667" s="296"/>
      <c r="J1667" s="28"/>
      <c r="K1667" s="488"/>
      <c r="L1667" s="468"/>
      <c r="M1667" s="296"/>
      <c r="N1667" s="296"/>
    </row>
    <row r="1668" spans="1:14" s="20" customFormat="1">
      <c r="A1668" s="238" t="s">
        <v>1017</v>
      </c>
      <c r="B1668" s="231" t="s">
        <v>146</v>
      </c>
      <c r="C1668" s="32" t="s">
        <v>46</v>
      </c>
      <c r="D1668" s="77">
        <v>21010101</v>
      </c>
      <c r="E1668" s="135" t="s">
        <v>725</v>
      </c>
      <c r="F1668" s="138">
        <v>130533072.33888727</v>
      </c>
      <c r="G1668" s="297">
        <v>130533072.33888727</v>
      </c>
      <c r="H1668" s="297"/>
      <c r="I1668" s="297"/>
      <c r="J1668" s="28">
        <v>130533072.33888727</v>
      </c>
      <c r="K1668" s="488"/>
      <c r="L1668" s="467">
        <v>130533072.33888727</v>
      </c>
      <c r="M1668" s="297">
        <f>G1668*10%+G1668</f>
        <v>143586379.57277599</v>
      </c>
      <c r="N1668" s="297">
        <f>M1668*10%+M1668</f>
        <v>157945017.53005359</v>
      </c>
    </row>
    <row r="1669" spans="1:14" s="20" customFormat="1">
      <c r="A1669" s="238"/>
      <c r="B1669" s="231"/>
      <c r="C1669" s="30" t="s">
        <v>1836</v>
      </c>
      <c r="D1669" s="23"/>
      <c r="E1669" s="25"/>
      <c r="F1669" s="137">
        <f>SUM(F1668)</f>
        <v>130533072.33888727</v>
      </c>
      <c r="G1669" s="114">
        <f>SUM(G1668)</f>
        <v>130533072.33888727</v>
      </c>
      <c r="H1669" s="114">
        <f t="shared" ref="H1669:I1669" si="291">SUM(H1668)</f>
        <v>0</v>
      </c>
      <c r="I1669" s="114">
        <f t="shared" si="291"/>
        <v>0</v>
      </c>
      <c r="J1669" s="114">
        <f>SUM(J1668)</f>
        <v>130533072.33888727</v>
      </c>
      <c r="K1669" s="490"/>
      <c r="L1669" s="468">
        <f>SUM(L1668)</f>
        <v>130533072.33888727</v>
      </c>
      <c r="M1669" s="114">
        <f>SUM(M1668)</f>
        <v>143586379.57277599</v>
      </c>
      <c r="N1669" s="114">
        <f>SUM(N1668)</f>
        <v>157945017.53005359</v>
      </c>
    </row>
    <row r="1670" spans="1:14" s="20" customFormat="1">
      <c r="A1670" s="253"/>
      <c r="B1670" s="231"/>
      <c r="C1670" s="32" t="s">
        <v>47</v>
      </c>
      <c r="D1670" s="77">
        <v>22020201</v>
      </c>
      <c r="E1670" s="135" t="s">
        <v>849</v>
      </c>
      <c r="F1670" s="136">
        <v>960000</v>
      </c>
      <c r="G1670" s="28">
        <v>960000</v>
      </c>
      <c r="H1670" s="28"/>
      <c r="I1670" s="28"/>
      <c r="J1670" s="28">
        <v>960000</v>
      </c>
      <c r="K1670" s="488">
        <f>J1670*4.38%</f>
        <v>42048</v>
      </c>
      <c r="L1670" s="469">
        <v>917952</v>
      </c>
      <c r="M1670" s="28">
        <v>960000</v>
      </c>
      <c r="N1670" s="28">
        <v>960000</v>
      </c>
    </row>
    <row r="1671" spans="1:14" s="20" customFormat="1">
      <c r="A1671" s="253"/>
      <c r="B1671" s="231"/>
      <c r="C1671" s="32" t="s">
        <v>47</v>
      </c>
      <c r="D1671" s="77">
        <v>22020203</v>
      </c>
      <c r="E1671" s="135" t="s">
        <v>779</v>
      </c>
      <c r="F1671" s="136">
        <v>612000</v>
      </c>
      <c r="G1671" s="28">
        <v>612000</v>
      </c>
      <c r="H1671" s="28"/>
      <c r="I1671" s="28"/>
      <c r="J1671" s="28">
        <v>612000</v>
      </c>
      <c r="K1671" s="488">
        <f t="shared" ref="K1671:K1697" si="292">J1671*4.38%</f>
        <v>26805.599999999999</v>
      </c>
      <c r="L1671" s="469">
        <v>585194.4</v>
      </c>
      <c r="M1671" s="28">
        <v>612000</v>
      </c>
      <c r="N1671" s="28">
        <v>612000</v>
      </c>
    </row>
    <row r="1672" spans="1:14" s="20" customFormat="1">
      <c r="A1672" s="253"/>
      <c r="B1672" s="231"/>
      <c r="C1672" s="32" t="s">
        <v>47</v>
      </c>
      <c r="D1672" s="77">
        <v>22020204</v>
      </c>
      <c r="E1672" s="135" t="s">
        <v>780</v>
      </c>
      <c r="F1672" s="136">
        <v>336000</v>
      </c>
      <c r="G1672" s="28">
        <v>336000</v>
      </c>
      <c r="H1672" s="28"/>
      <c r="I1672" s="28"/>
      <c r="J1672" s="28">
        <v>336000</v>
      </c>
      <c r="K1672" s="488">
        <f t="shared" si="292"/>
        <v>14716.8</v>
      </c>
      <c r="L1672" s="469">
        <v>321283.20000000001</v>
      </c>
      <c r="M1672" s="28">
        <v>336000</v>
      </c>
      <c r="N1672" s="28">
        <v>336000</v>
      </c>
    </row>
    <row r="1673" spans="1:14" s="20" customFormat="1">
      <c r="A1673" s="253"/>
      <c r="B1673" s="231"/>
      <c r="C1673" s="32" t="s">
        <v>47</v>
      </c>
      <c r="D1673" s="77">
        <v>22020205</v>
      </c>
      <c r="E1673" s="135" t="s">
        <v>850</v>
      </c>
      <c r="F1673" s="136">
        <v>1200000</v>
      </c>
      <c r="G1673" s="28">
        <v>1200000</v>
      </c>
      <c r="H1673" s="28"/>
      <c r="I1673" s="28"/>
      <c r="J1673" s="28">
        <v>1200000</v>
      </c>
      <c r="K1673" s="488">
        <f t="shared" si="292"/>
        <v>52560</v>
      </c>
      <c r="L1673" s="469">
        <v>1147440</v>
      </c>
      <c r="M1673" s="28">
        <v>1200000</v>
      </c>
      <c r="N1673" s="28">
        <v>1200000</v>
      </c>
    </row>
    <row r="1674" spans="1:14" s="20" customFormat="1">
      <c r="A1674" s="253"/>
      <c r="B1674" s="231"/>
      <c r="C1674" s="32" t="s">
        <v>47</v>
      </c>
      <c r="D1674" s="77">
        <v>22020206</v>
      </c>
      <c r="E1674" s="135" t="s">
        <v>764</v>
      </c>
      <c r="F1674" s="136">
        <v>750000</v>
      </c>
      <c r="G1674" s="28">
        <v>750000</v>
      </c>
      <c r="H1674" s="28"/>
      <c r="I1674" s="28"/>
      <c r="J1674" s="28">
        <v>750000</v>
      </c>
      <c r="K1674" s="488">
        <f t="shared" si="292"/>
        <v>32850</v>
      </c>
      <c r="L1674" s="469">
        <v>717150</v>
      </c>
      <c r="M1674" s="28">
        <v>750000</v>
      </c>
      <c r="N1674" s="28">
        <v>750000</v>
      </c>
    </row>
    <row r="1675" spans="1:14" s="20" customFormat="1">
      <c r="A1675" s="253"/>
      <c r="B1675" s="231"/>
      <c r="C1675" s="32" t="s">
        <v>47</v>
      </c>
      <c r="D1675" s="77">
        <v>22020209</v>
      </c>
      <c r="E1675" s="135" t="s">
        <v>750</v>
      </c>
      <c r="F1675" s="136">
        <v>600000</v>
      </c>
      <c r="G1675" s="28">
        <v>600000</v>
      </c>
      <c r="H1675" s="28"/>
      <c r="I1675" s="28"/>
      <c r="J1675" s="28">
        <v>600000</v>
      </c>
      <c r="K1675" s="488">
        <f t="shared" si="292"/>
        <v>26280</v>
      </c>
      <c r="L1675" s="469">
        <v>573720</v>
      </c>
      <c r="M1675" s="28">
        <v>600000</v>
      </c>
      <c r="N1675" s="28">
        <v>600000</v>
      </c>
    </row>
    <row r="1676" spans="1:14" s="20" customFormat="1">
      <c r="A1676" s="253"/>
      <c r="B1676" s="231"/>
      <c r="C1676" s="32" t="s">
        <v>47</v>
      </c>
      <c r="D1676" s="77">
        <v>22020301</v>
      </c>
      <c r="E1676" s="135" t="s">
        <v>737</v>
      </c>
      <c r="F1676" s="136">
        <v>3987000</v>
      </c>
      <c r="G1676" s="28">
        <v>3987000</v>
      </c>
      <c r="H1676" s="28"/>
      <c r="I1676" s="28"/>
      <c r="J1676" s="28">
        <v>3987000</v>
      </c>
      <c r="K1676" s="488">
        <f t="shared" si="292"/>
        <v>174630.6</v>
      </c>
      <c r="L1676" s="469">
        <v>3812369.4000000004</v>
      </c>
      <c r="M1676" s="28">
        <v>3987000</v>
      </c>
      <c r="N1676" s="28">
        <v>3987000</v>
      </c>
    </row>
    <row r="1677" spans="1:14" s="20" customFormat="1">
      <c r="A1677" s="253"/>
      <c r="B1677" s="231"/>
      <c r="C1677" s="32" t="s">
        <v>47</v>
      </c>
      <c r="D1677" s="77">
        <v>22020303</v>
      </c>
      <c r="E1677" s="135" t="s">
        <v>738</v>
      </c>
      <c r="F1677" s="136">
        <v>219000</v>
      </c>
      <c r="G1677" s="28">
        <v>219000</v>
      </c>
      <c r="H1677" s="28"/>
      <c r="I1677" s="28"/>
      <c r="J1677" s="28">
        <v>219000</v>
      </c>
      <c r="K1677" s="488">
        <f t="shared" si="292"/>
        <v>9592.1999999999989</v>
      </c>
      <c r="L1677" s="469">
        <v>209407.80000000002</v>
      </c>
      <c r="M1677" s="28">
        <v>219000</v>
      </c>
      <c r="N1677" s="28">
        <v>219000</v>
      </c>
    </row>
    <row r="1678" spans="1:14" s="20" customFormat="1">
      <c r="A1678" s="253"/>
      <c r="B1678" s="231"/>
      <c r="C1678" s="32" t="s">
        <v>47</v>
      </c>
      <c r="D1678" s="77">
        <v>22020304</v>
      </c>
      <c r="E1678" s="135" t="s">
        <v>851</v>
      </c>
      <c r="F1678" s="136">
        <v>24000</v>
      </c>
      <c r="G1678" s="28">
        <v>24000</v>
      </c>
      <c r="H1678" s="28"/>
      <c r="I1678" s="28"/>
      <c r="J1678" s="28">
        <v>24000</v>
      </c>
      <c r="K1678" s="488">
        <f t="shared" si="292"/>
        <v>1051.2</v>
      </c>
      <c r="L1678" s="469">
        <v>22948.800000000003</v>
      </c>
      <c r="M1678" s="28">
        <v>24000</v>
      </c>
      <c r="N1678" s="28">
        <v>24000</v>
      </c>
    </row>
    <row r="1679" spans="1:14" s="20" customFormat="1">
      <c r="A1679" s="253"/>
      <c r="B1679" s="231"/>
      <c r="C1679" s="32" t="s">
        <v>47</v>
      </c>
      <c r="D1679" s="77">
        <v>22020305</v>
      </c>
      <c r="E1679" s="135" t="s">
        <v>755</v>
      </c>
      <c r="F1679" s="136">
        <v>5745000</v>
      </c>
      <c r="G1679" s="28">
        <v>5745000</v>
      </c>
      <c r="H1679" s="28"/>
      <c r="I1679" s="28"/>
      <c r="J1679" s="28">
        <v>5745000</v>
      </c>
      <c r="K1679" s="488">
        <f t="shared" si="292"/>
        <v>251631</v>
      </c>
      <c r="L1679" s="469">
        <v>5493369</v>
      </c>
      <c r="M1679" s="28">
        <v>5745000</v>
      </c>
      <c r="N1679" s="28">
        <v>5745000</v>
      </c>
    </row>
    <row r="1680" spans="1:14" s="20" customFormat="1">
      <c r="A1680" s="253"/>
      <c r="B1680" s="231"/>
      <c r="C1680" s="32" t="s">
        <v>47</v>
      </c>
      <c r="D1680" s="77">
        <v>22020307</v>
      </c>
      <c r="E1680" s="135" t="s">
        <v>822</v>
      </c>
      <c r="F1680" s="136">
        <v>964800</v>
      </c>
      <c r="G1680" s="28">
        <v>964800</v>
      </c>
      <c r="H1680" s="28"/>
      <c r="I1680" s="28"/>
      <c r="J1680" s="28">
        <v>964800</v>
      </c>
      <c r="K1680" s="488">
        <f t="shared" si="292"/>
        <v>42258.239999999998</v>
      </c>
      <c r="L1680" s="469">
        <v>922541.76</v>
      </c>
      <c r="M1680" s="28">
        <v>964800</v>
      </c>
      <c r="N1680" s="28">
        <v>964800</v>
      </c>
    </row>
    <row r="1681" spans="1:14" s="20" customFormat="1">
      <c r="A1681" s="253"/>
      <c r="B1681" s="231"/>
      <c r="C1681" s="32" t="s">
        <v>47</v>
      </c>
      <c r="D1681" s="77">
        <v>22020310</v>
      </c>
      <c r="E1681" s="135" t="s">
        <v>819</v>
      </c>
      <c r="F1681" s="136">
        <f>2846000+2000000</f>
        <v>4846000</v>
      </c>
      <c r="G1681" s="28">
        <f>2846000+2000000</f>
        <v>4846000</v>
      </c>
      <c r="H1681" s="28"/>
      <c r="I1681" s="28"/>
      <c r="J1681" s="28">
        <v>4846000</v>
      </c>
      <c r="K1681" s="488">
        <f t="shared" si="292"/>
        <v>212254.8</v>
      </c>
      <c r="L1681" s="469">
        <v>4633745.2</v>
      </c>
      <c r="M1681" s="28">
        <v>2846000</v>
      </c>
      <c r="N1681" s="28">
        <v>2846000</v>
      </c>
    </row>
    <row r="1682" spans="1:14" s="20" customFormat="1">
      <c r="A1682" s="253"/>
      <c r="B1682" s="231"/>
      <c r="C1682" s="32" t="s">
        <v>47</v>
      </c>
      <c r="D1682" s="77">
        <v>22020315</v>
      </c>
      <c r="E1682" s="135" t="s">
        <v>740</v>
      </c>
      <c r="F1682" s="136">
        <v>330000</v>
      </c>
      <c r="G1682" s="28">
        <v>330000</v>
      </c>
      <c r="H1682" s="28"/>
      <c r="I1682" s="28"/>
      <c r="J1682" s="28">
        <v>330000</v>
      </c>
      <c r="K1682" s="488">
        <f t="shared" si="292"/>
        <v>14454</v>
      </c>
      <c r="L1682" s="469">
        <v>315546</v>
      </c>
      <c r="M1682" s="28">
        <v>330000</v>
      </c>
      <c r="N1682" s="28">
        <v>330000</v>
      </c>
    </row>
    <row r="1683" spans="1:14" s="20" customFormat="1">
      <c r="A1683" s="253"/>
      <c r="B1683" s="231"/>
      <c r="C1683" s="32" t="s">
        <v>47</v>
      </c>
      <c r="D1683" s="77">
        <v>22020401</v>
      </c>
      <c r="E1683" s="135" t="s">
        <v>741</v>
      </c>
      <c r="F1683" s="136">
        <v>285000</v>
      </c>
      <c r="G1683" s="28">
        <v>285000</v>
      </c>
      <c r="H1683" s="28"/>
      <c r="I1683" s="28"/>
      <c r="J1683" s="28">
        <v>285000</v>
      </c>
      <c r="K1683" s="488">
        <f t="shared" si="292"/>
        <v>12483</v>
      </c>
      <c r="L1683" s="469">
        <v>272517</v>
      </c>
      <c r="M1683" s="28">
        <v>285000</v>
      </c>
      <c r="N1683" s="28">
        <v>285000</v>
      </c>
    </row>
    <row r="1684" spans="1:14" s="20" customFormat="1">
      <c r="A1684" s="253"/>
      <c r="B1684" s="231"/>
      <c r="C1684" s="32" t="s">
        <v>47</v>
      </c>
      <c r="D1684" s="77">
        <v>22020402</v>
      </c>
      <c r="E1684" s="135" t="s">
        <v>757</v>
      </c>
      <c r="F1684" s="136">
        <v>2950000</v>
      </c>
      <c r="G1684" s="28">
        <v>2950000</v>
      </c>
      <c r="H1684" s="28"/>
      <c r="I1684" s="28"/>
      <c r="J1684" s="28">
        <v>2950000</v>
      </c>
      <c r="K1684" s="488">
        <f t="shared" si="292"/>
        <v>129210</v>
      </c>
      <c r="L1684" s="469">
        <v>2820790</v>
      </c>
      <c r="M1684" s="28">
        <v>2950000</v>
      </c>
      <c r="N1684" s="28">
        <v>2950000</v>
      </c>
    </row>
    <row r="1685" spans="1:14" s="20" customFormat="1">
      <c r="A1685" s="253"/>
      <c r="B1685" s="231"/>
      <c r="C1685" s="32" t="s">
        <v>47</v>
      </c>
      <c r="D1685" s="77">
        <v>22020403</v>
      </c>
      <c r="E1685" s="135" t="s">
        <v>781</v>
      </c>
      <c r="F1685" s="136">
        <v>1946000</v>
      </c>
      <c r="G1685" s="28">
        <v>1946000</v>
      </c>
      <c r="H1685" s="28"/>
      <c r="I1685" s="28"/>
      <c r="J1685" s="28">
        <v>1946000</v>
      </c>
      <c r="K1685" s="488">
        <f t="shared" si="292"/>
        <v>85234.8</v>
      </c>
      <c r="L1685" s="469">
        <v>1860765.2000000002</v>
      </c>
      <c r="M1685" s="28">
        <v>1946000</v>
      </c>
      <c r="N1685" s="28">
        <v>1946000</v>
      </c>
    </row>
    <row r="1686" spans="1:14" s="20" customFormat="1">
      <c r="A1686" s="253"/>
      <c r="B1686" s="231"/>
      <c r="C1686" s="32" t="s">
        <v>47</v>
      </c>
      <c r="D1686" s="77">
        <v>22020404</v>
      </c>
      <c r="E1686" s="135" t="s">
        <v>742</v>
      </c>
      <c r="F1686" s="136">
        <v>900000</v>
      </c>
      <c r="G1686" s="28">
        <v>900000</v>
      </c>
      <c r="H1686" s="28"/>
      <c r="I1686" s="28"/>
      <c r="J1686" s="28">
        <v>900000</v>
      </c>
      <c r="K1686" s="488">
        <f t="shared" si="292"/>
        <v>39420</v>
      </c>
      <c r="L1686" s="469">
        <v>860580</v>
      </c>
      <c r="M1686" s="28">
        <v>900000</v>
      </c>
      <c r="N1686" s="28">
        <v>900000</v>
      </c>
    </row>
    <row r="1687" spans="1:14" s="20" customFormat="1">
      <c r="A1687" s="253"/>
      <c r="B1687" s="231"/>
      <c r="C1687" s="32" t="s">
        <v>47</v>
      </c>
      <c r="D1687" s="77">
        <v>22020405</v>
      </c>
      <c r="E1687" s="135" t="s">
        <v>743</v>
      </c>
      <c r="F1687" s="136">
        <v>42000</v>
      </c>
      <c r="G1687" s="28">
        <v>42000</v>
      </c>
      <c r="H1687" s="28"/>
      <c r="I1687" s="28"/>
      <c r="J1687" s="28">
        <v>42000</v>
      </c>
      <c r="K1687" s="488">
        <f t="shared" si="292"/>
        <v>1839.6</v>
      </c>
      <c r="L1687" s="469">
        <v>40160.400000000001</v>
      </c>
      <c r="M1687" s="28">
        <v>42000</v>
      </c>
      <c r="N1687" s="28">
        <v>42000</v>
      </c>
    </row>
    <row r="1688" spans="1:14" s="20" customFormat="1">
      <c r="A1688" s="253"/>
      <c r="B1688" s="231"/>
      <c r="C1688" s="32" t="s">
        <v>47</v>
      </c>
      <c r="D1688" s="77">
        <v>22020601</v>
      </c>
      <c r="E1688" s="135" t="s">
        <v>766</v>
      </c>
      <c r="F1688" s="136">
        <v>100000</v>
      </c>
      <c r="G1688" s="28">
        <v>100000</v>
      </c>
      <c r="H1688" s="28"/>
      <c r="I1688" s="28"/>
      <c r="J1688" s="28">
        <v>100000</v>
      </c>
      <c r="K1688" s="488">
        <f t="shared" si="292"/>
        <v>4380</v>
      </c>
      <c r="L1688" s="469">
        <v>95620</v>
      </c>
      <c r="M1688" s="28">
        <v>100000</v>
      </c>
      <c r="N1688" s="28">
        <v>100000</v>
      </c>
    </row>
    <row r="1689" spans="1:14" s="20" customFormat="1">
      <c r="A1689" s="253"/>
      <c r="B1689" s="231"/>
      <c r="C1689" s="32" t="s">
        <v>47</v>
      </c>
      <c r="D1689" s="77">
        <v>22020709</v>
      </c>
      <c r="E1689" s="135" t="s">
        <v>771</v>
      </c>
      <c r="F1689" s="136">
        <v>450000</v>
      </c>
      <c r="G1689" s="28">
        <v>450000</v>
      </c>
      <c r="H1689" s="28"/>
      <c r="I1689" s="28"/>
      <c r="J1689" s="28">
        <v>450000</v>
      </c>
      <c r="K1689" s="488">
        <f t="shared" si="292"/>
        <v>19710</v>
      </c>
      <c r="L1689" s="469">
        <v>430290</v>
      </c>
      <c r="M1689" s="28">
        <v>450000</v>
      </c>
      <c r="N1689" s="28">
        <v>450000</v>
      </c>
    </row>
    <row r="1690" spans="1:14" s="20" customFormat="1">
      <c r="A1690" s="253"/>
      <c r="B1690" s="231"/>
      <c r="C1690" s="32" t="s">
        <v>47</v>
      </c>
      <c r="D1690" s="77">
        <v>22020802</v>
      </c>
      <c r="E1690" s="135" t="s">
        <v>973</v>
      </c>
      <c r="F1690" s="136">
        <v>8700</v>
      </c>
      <c r="G1690" s="28">
        <v>8700</v>
      </c>
      <c r="H1690" s="28"/>
      <c r="I1690" s="28"/>
      <c r="J1690" s="28">
        <v>8700</v>
      </c>
      <c r="K1690" s="488">
        <f t="shared" si="292"/>
        <v>381.06</v>
      </c>
      <c r="L1690" s="469">
        <v>8318.94</v>
      </c>
      <c r="M1690" s="28">
        <v>8700</v>
      </c>
      <c r="N1690" s="28">
        <v>8700</v>
      </c>
    </row>
    <row r="1691" spans="1:14" s="20" customFormat="1">
      <c r="A1691" s="253"/>
      <c r="B1691" s="231"/>
      <c r="C1691" s="32" t="s">
        <v>47</v>
      </c>
      <c r="D1691" s="77">
        <v>22020801</v>
      </c>
      <c r="E1691" s="135" t="s">
        <v>747</v>
      </c>
      <c r="F1691" s="136">
        <v>2000000</v>
      </c>
      <c r="G1691" s="28">
        <v>2000000</v>
      </c>
      <c r="H1691" s="28"/>
      <c r="I1691" s="28"/>
      <c r="J1691" s="28">
        <v>2000000</v>
      </c>
      <c r="K1691" s="488">
        <f t="shared" si="292"/>
        <v>87600</v>
      </c>
      <c r="L1691" s="469">
        <v>1912400</v>
      </c>
      <c r="M1691" s="28">
        <f>G1691*10%+G1691</f>
        <v>2200000</v>
      </c>
      <c r="N1691" s="28">
        <f>M1691*10%+M1691</f>
        <v>2420000</v>
      </c>
    </row>
    <row r="1692" spans="1:14" s="20" customFormat="1">
      <c r="A1692" s="253"/>
      <c r="B1692" s="231"/>
      <c r="C1692" s="32" t="s">
        <v>47</v>
      </c>
      <c r="D1692" s="77">
        <v>22020803</v>
      </c>
      <c r="E1692" s="135" t="s">
        <v>748</v>
      </c>
      <c r="F1692" s="136">
        <f>184500+1000000</f>
        <v>1184500</v>
      </c>
      <c r="G1692" s="28">
        <f>184500+1000000</f>
        <v>1184500</v>
      </c>
      <c r="H1692" s="28"/>
      <c r="I1692" s="28"/>
      <c r="J1692" s="28">
        <v>1184500</v>
      </c>
      <c r="K1692" s="488">
        <f t="shared" si="292"/>
        <v>51881.1</v>
      </c>
      <c r="L1692" s="469">
        <v>1132618.9000000001</v>
      </c>
      <c r="M1692" s="28">
        <v>184500</v>
      </c>
      <c r="N1692" s="28">
        <v>184500</v>
      </c>
    </row>
    <row r="1693" spans="1:14" s="20" customFormat="1">
      <c r="A1693" s="253"/>
      <c r="B1693" s="231"/>
      <c r="C1693" s="32" t="s">
        <v>47</v>
      </c>
      <c r="D1693" s="77">
        <v>22021001</v>
      </c>
      <c r="E1693" s="135" t="s">
        <v>772</v>
      </c>
      <c r="F1693" s="136">
        <v>346000</v>
      </c>
      <c r="G1693" s="28">
        <v>346000</v>
      </c>
      <c r="H1693" s="28"/>
      <c r="I1693" s="28"/>
      <c r="J1693" s="28">
        <v>346000</v>
      </c>
      <c r="K1693" s="488">
        <f t="shared" si="292"/>
        <v>15154.8</v>
      </c>
      <c r="L1693" s="469">
        <v>330845.2</v>
      </c>
      <c r="M1693" s="28">
        <v>346000</v>
      </c>
      <c r="N1693" s="28">
        <v>346000</v>
      </c>
    </row>
    <row r="1694" spans="1:14" s="20" customFormat="1">
      <c r="A1694" s="253"/>
      <c r="B1694" s="231"/>
      <c r="C1694" s="32" t="s">
        <v>47</v>
      </c>
      <c r="D1694" s="77">
        <v>22021003</v>
      </c>
      <c r="E1694" s="135" t="s">
        <v>760</v>
      </c>
      <c r="F1694" s="136">
        <v>15000</v>
      </c>
      <c r="G1694" s="28">
        <v>15000</v>
      </c>
      <c r="H1694" s="28"/>
      <c r="I1694" s="28"/>
      <c r="J1694" s="28">
        <v>15000</v>
      </c>
      <c r="K1694" s="488">
        <f t="shared" si="292"/>
        <v>657</v>
      </c>
      <c r="L1694" s="469">
        <v>14343</v>
      </c>
      <c r="M1694" s="28">
        <v>15000</v>
      </c>
      <c r="N1694" s="28">
        <v>15000</v>
      </c>
    </row>
    <row r="1695" spans="1:14" s="20" customFormat="1">
      <c r="A1695" s="253"/>
      <c r="B1695" s="231"/>
      <c r="C1695" s="32" t="s">
        <v>47</v>
      </c>
      <c r="D1695" s="77">
        <v>22021007</v>
      </c>
      <c r="E1695" s="135" t="s">
        <v>856</v>
      </c>
      <c r="F1695" s="136">
        <v>1156000</v>
      </c>
      <c r="G1695" s="28">
        <v>1156000</v>
      </c>
      <c r="H1695" s="28"/>
      <c r="I1695" s="28"/>
      <c r="J1695" s="28">
        <v>1156000</v>
      </c>
      <c r="K1695" s="488">
        <f t="shared" si="292"/>
        <v>50632.799999999996</v>
      </c>
      <c r="L1695" s="469">
        <v>1105367.2</v>
      </c>
      <c r="M1695" s="28">
        <v>9156000</v>
      </c>
      <c r="N1695" s="28">
        <v>9156000</v>
      </c>
    </row>
    <row r="1696" spans="1:14" s="20" customFormat="1">
      <c r="A1696" s="253"/>
      <c r="B1696" s="231"/>
      <c r="C1696" s="32" t="s">
        <v>47</v>
      </c>
      <c r="D1696" s="77">
        <v>22021009</v>
      </c>
      <c r="E1696" s="135" t="s">
        <v>873</v>
      </c>
      <c r="F1696" s="136">
        <v>269000</v>
      </c>
      <c r="G1696" s="28">
        <v>300000</v>
      </c>
      <c r="H1696" s="28"/>
      <c r="I1696" s="28"/>
      <c r="J1696" s="28">
        <v>300000</v>
      </c>
      <c r="K1696" s="488">
        <f t="shared" si="292"/>
        <v>13140</v>
      </c>
      <c r="L1696" s="469">
        <v>286860</v>
      </c>
      <c r="M1696" s="28">
        <v>269000</v>
      </c>
      <c r="N1696" s="28">
        <v>269000</v>
      </c>
    </row>
    <row r="1697" spans="1:14" s="20" customFormat="1">
      <c r="A1697" s="238"/>
      <c r="B1697" s="231"/>
      <c r="C1697" s="30" t="s">
        <v>1837</v>
      </c>
      <c r="D1697" s="23"/>
      <c r="E1697" s="25"/>
      <c r="F1697" s="137">
        <f>SUM(F1670:F1696)</f>
        <v>32226000</v>
      </c>
      <c r="G1697" s="114">
        <f>SUM(G1670:G1696)</f>
        <v>32257000</v>
      </c>
      <c r="H1697" s="114">
        <f t="shared" ref="H1697:I1697" si="293">SUM(H1670:H1696)</f>
        <v>0</v>
      </c>
      <c r="I1697" s="114">
        <f t="shared" si="293"/>
        <v>0</v>
      </c>
      <c r="J1697" s="114">
        <f>SUM(J1670:J1696)</f>
        <v>32257000</v>
      </c>
      <c r="K1697" s="490">
        <f t="shared" si="292"/>
        <v>1412856.5999999999</v>
      </c>
      <c r="L1697" s="468">
        <f>SUM(L1670:L1696)</f>
        <v>30844143.399999995</v>
      </c>
      <c r="M1697" s="114">
        <f>SUM(M1670:M1696)</f>
        <v>37426000</v>
      </c>
      <c r="N1697" s="114">
        <f>SUM(N1670:N1696)</f>
        <v>37646000</v>
      </c>
    </row>
    <row r="1698" spans="1:14" s="66" customFormat="1">
      <c r="A1698" s="238" t="s">
        <v>1017</v>
      </c>
      <c r="B1698" s="231" t="s">
        <v>1807</v>
      </c>
      <c r="C1698" s="30"/>
      <c r="D1698" s="23"/>
      <c r="E1698" s="25"/>
      <c r="F1698" s="137">
        <f>F1697+F1669</f>
        <v>162759072.33888727</v>
      </c>
      <c r="G1698" s="114">
        <f>G1697+G1669</f>
        <v>162790072.33888727</v>
      </c>
      <c r="H1698" s="114">
        <f t="shared" ref="H1698:I1698" si="294">H1697+H1669</f>
        <v>0</v>
      </c>
      <c r="I1698" s="114">
        <f t="shared" si="294"/>
        <v>0</v>
      </c>
      <c r="J1698" s="114">
        <f>J1697+J1669</f>
        <v>162790072.33888727</v>
      </c>
      <c r="K1698" s="490"/>
      <c r="L1698" s="468">
        <f>L1697+L1669</f>
        <v>161377215.73888728</v>
      </c>
      <c r="M1698" s="114">
        <f>M1697+M1669</f>
        <v>181012379.57277599</v>
      </c>
      <c r="N1698" s="114">
        <f>N1697+N1669</f>
        <v>195591017.53005359</v>
      </c>
    </row>
    <row r="1699" spans="1:14" s="20" customFormat="1" ht="21">
      <c r="A1699" s="252"/>
      <c r="B1699" s="443"/>
      <c r="C1699" s="228"/>
      <c r="D1699" s="229"/>
      <c r="E1699" s="230"/>
      <c r="F1699" s="215"/>
      <c r="G1699" s="296"/>
      <c r="H1699" s="296"/>
      <c r="I1699" s="296"/>
      <c r="J1699" s="28"/>
      <c r="K1699" s="488"/>
      <c r="L1699" s="468"/>
      <c r="M1699" s="296"/>
      <c r="N1699" s="296"/>
    </row>
    <row r="1700" spans="1:14" s="20" customFormat="1">
      <c r="A1700" s="238" t="s">
        <v>1019</v>
      </c>
      <c r="B1700" s="231" t="s">
        <v>1018</v>
      </c>
      <c r="C1700" s="237" t="s">
        <v>46</v>
      </c>
      <c r="D1700" s="27">
        <v>21010101</v>
      </c>
      <c r="E1700" s="237" t="s">
        <v>1698</v>
      </c>
      <c r="F1700" s="136">
        <v>42756204.239999987</v>
      </c>
      <c r="G1700" s="28">
        <v>42756204.239999987</v>
      </c>
      <c r="H1700" s="28"/>
      <c r="I1700" s="28"/>
      <c r="J1700" s="28">
        <v>42756204.239999987</v>
      </c>
      <c r="K1700" s="488"/>
      <c r="L1700" s="467">
        <v>42756204.239999987</v>
      </c>
      <c r="M1700" s="28">
        <v>47031824.66399999</v>
      </c>
      <c r="N1700" s="28">
        <f>M1700*10%+M1700</f>
        <v>51735007.130399987</v>
      </c>
    </row>
    <row r="1701" spans="1:14" s="20" customFormat="1">
      <c r="A1701" s="242"/>
      <c r="B1701" s="231"/>
      <c r="C1701" s="237" t="s">
        <v>46</v>
      </c>
      <c r="D1701" s="27">
        <v>21020101</v>
      </c>
      <c r="E1701" s="237" t="s">
        <v>1020</v>
      </c>
      <c r="F1701" s="136">
        <v>10689051.059999997</v>
      </c>
      <c r="G1701" s="28">
        <v>10689051.059999997</v>
      </c>
      <c r="H1701" s="28"/>
      <c r="I1701" s="28"/>
      <c r="J1701" s="28">
        <v>10689051.059999997</v>
      </c>
      <c r="K1701" s="488"/>
      <c r="L1701" s="467">
        <v>10689051.059999997</v>
      </c>
      <c r="M1701" s="28">
        <v>11757956.165999997</v>
      </c>
      <c r="N1701" s="28">
        <f t="shared" ref="N1701:N1711" si="295">M1701*10%+M1701</f>
        <v>12933751.782599997</v>
      </c>
    </row>
    <row r="1702" spans="1:14" s="20" customFormat="1">
      <c r="A1702" s="242"/>
      <c r="B1702" s="231"/>
      <c r="C1702" s="237" t="s">
        <v>46</v>
      </c>
      <c r="D1702" s="27">
        <v>21020102</v>
      </c>
      <c r="E1702" s="237" t="s">
        <v>1021</v>
      </c>
      <c r="F1702" s="136">
        <v>4275623.8682506485</v>
      </c>
      <c r="G1702" s="28">
        <v>4275623.8682506485</v>
      </c>
      <c r="H1702" s="28"/>
      <c r="I1702" s="28"/>
      <c r="J1702" s="28">
        <v>4275623.8682506485</v>
      </c>
      <c r="K1702" s="488"/>
      <c r="L1702" s="467">
        <v>4275623.8682506485</v>
      </c>
      <c r="M1702" s="28">
        <v>4703186.2550757136</v>
      </c>
      <c r="N1702" s="28">
        <f t="shared" si="295"/>
        <v>5173504.8805832854</v>
      </c>
    </row>
    <row r="1703" spans="1:14" s="20" customFormat="1">
      <c r="A1703" s="242"/>
      <c r="B1703" s="231"/>
      <c r="C1703" s="237" t="s">
        <v>46</v>
      </c>
      <c r="D1703" s="27">
        <v>21020103</v>
      </c>
      <c r="E1703" s="237" t="s">
        <v>1022</v>
      </c>
      <c r="F1703" s="136">
        <v>2137811.9341253242</v>
      </c>
      <c r="G1703" s="28">
        <v>2137811.9341253242</v>
      </c>
      <c r="H1703" s="28"/>
      <c r="I1703" s="28"/>
      <c r="J1703" s="28">
        <v>2137811.9341253242</v>
      </c>
      <c r="K1703" s="488"/>
      <c r="L1703" s="467">
        <v>2137811.9341253242</v>
      </c>
      <c r="M1703" s="28">
        <v>2351593.1275378568</v>
      </c>
      <c r="N1703" s="28">
        <f t="shared" si="295"/>
        <v>2586752.4402916427</v>
      </c>
    </row>
    <row r="1704" spans="1:14" s="20" customFormat="1">
      <c r="A1704" s="242"/>
      <c r="B1704" s="231"/>
      <c r="C1704" s="237" t="s">
        <v>46</v>
      </c>
      <c r="D1704" s="27">
        <v>21020104</v>
      </c>
      <c r="E1704" s="237" t="s">
        <v>1023</v>
      </c>
      <c r="F1704" s="136">
        <v>2137811.9341253242</v>
      </c>
      <c r="G1704" s="28">
        <v>2137811.9341253242</v>
      </c>
      <c r="H1704" s="28"/>
      <c r="I1704" s="28"/>
      <c r="J1704" s="28">
        <v>2137811.9341253242</v>
      </c>
      <c r="K1704" s="488"/>
      <c r="L1704" s="467">
        <v>2137811.9341253242</v>
      </c>
      <c r="M1704" s="28">
        <v>2351593.1275378568</v>
      </c>
      <c r="N1704" s="28">
        <f t="shared" si="295"/>
        <v>2586752.4402916427</v>
      </c>
    </row>
    <row r="1705" spans="1:14" s="20" customFormat="1">
      <c r="A1705" s="242"/>
      <c r="B1705" s="231"/>
      <c r="C1705" s="237" t="s">
        <v>46</v>
      </c>
      <c r="D1705" s="27">
        <v>21020105</v>
      </c>
      <c r="E1705" s="237" t="s">
        <v>1024</v>
      </c>
      <c r="F1705" s="136">
        <v>187493.75862197918</v>
      </c>
      <c r="G1705" s="28">
        <v>187493.75862197918</v>
      </c>
      <c r="H1705" s="28"/>
      <c r="I1705" s="28"/>
      <c r="J1705" s="28">
        <v>187493.75862197918</v>
      </c>
      <c r="K1705" s="488"/>
      <c r="L1705" s="467">
        <v>187493.75862197918</v>
      </c>
      <c r="M1705" s="28">
        <v>206243.13448417711</v>
      </c>
      <c r="N1705" s="28">
        <f t="shared" si="295"/>
        <v>226867.44793259481</v>
      </c>
    </row>
    <row r="1706" spans="1:14" s="20" customFormat="1">
      <c r="A1706" s="242"/>
      <c r="B1706" s="231"/>
      <c r="C1706" s="237" t="s">
        <v>46</v>
      </c>
      <c r="D1706" s="27">
        <v>21020106</v>
      </c>
      <c r="E1706" s="237" t="s">
        <v>1025</v>
      </c>
      <c r="F1706" s="136">
        <v>4275620.4240000052</v>
      </c>
      <c r="G1706" s="28">
        <v>4275620.4240000052</v>
      </c>
      <c r="H1706" s="28"/>
      <c r="I1706" s="28"/>
      <c r="J1706" s="28">
        <v>4275620.4240000052</v>
      </c>
      <c r="K1706" s="488"/>
      <c r="L1706" s="467">
        <v>4275620.4240000052</v>
      </c>
      <c r="M1706" s="28">
        <v>4703182.4664000059</v>
      </c>
      <c r="N1706" s="28">
        <f t="shared" si="295"/>
        <v>5173500.7130400063</v>
      </c>
    </row>
    <row r="1707" spans="1:14" s="20" customFormat="1">
      <c r="A1707" s="242"/>
      <c r="B1707" s="231"/>
      <c r="C1707" s="237" t="s">
        <v>46</v>
      </c>
      <c r="D1707" s="27">
        <v>21020107</v>
      </c>
      <c r="E1707" s="237" t="s">
        <v>1026</v>
      </c>
      <c r="F1707" s="136">
        <v>2160000</v>
      </c>
      <c r="G1707" s="28">
        <v>2160000</v>
      </c>
      <c r="H1707" s="28"/>
      <c r="I1707" s="28"/>
      <c r="J1707" s="28">
        <v>2160000</v>
      </c>
      <c r="K1707" s="488"/>
      <c r="L1707" s="467">
        <v>2160000</v>
      </c>
      <c r="M1707" s="28">
        <v>2376000</v>
      </c>
      <c r="N1707" s="28">
        <f t="shared" si="295"/>
        <v>2613600</v>
      </c>
    </row>
    <row r="1708" spans="1:14" s="20" customFormat="1">
      <c r="A1708" s="242"/>
      <c r="B1708" s="231"/>
      <c r="C1708" s="237" t="s">
        <v>46</v>
      </c>
      <c r="D1708" s="27">
        <v>21020110</v>
      </c>
      <c r="E1708" s="237" t="s">
        <v>1027</v>
      </c>
      <c r="F1708" s="136">
        <v>6059</v>
      </c>
      <c r="G1708" s="28">
        <v>6059</v>
      </c>
      <c r="H1708" s="28"/>
      <c r="I1708" s="28"/>
      <c r="J1708" s="28">
        <v>6059</v>
      </c>
      <c r="K1708" s="488"/>
      <c r="L1708" s="467">
        <v>6059</v>
      </c>
      <c r="M1708" s="28">
        <v>6664.9</v>
      </c>
      <c r="N1708" s="28">
        <f t="shared" si="295"/>
        <v>7331.3899999999994</v>
      </c>
    </row>
    <row r="1709" spans="1:14" s="20" customFormat="1">
      <c r="A1709" s="242"/>
      <c r="B1709" s="231"/>
      <c r="C1709" s="237" t="s">
        <v>46</v>
      </c>
      <c r="D1709" s="27">
        <v>21020124</v>
      </c>
      <c r="E1709" s="237" t="s">
        <v>1028</v>
      </c>
      <c r="F1709" s="136">
        <v>7000</v>
      </c>
      <c r="G1709" s="28">
        <v>7000</v>
      </c>
      <c r="H1709" s="28"/>
      <c r="I1709" s="28"/>
      <c r="J1709" s="28">
        <v>7000</v>
      </c>
      <c r="K1709" s="488"/>
      <c r="L1709" s="467">
        <v>7000</v>
      </c>
      <c r="M1709" s="28">
        <v>7700</v>
      </c>
      <c r="N1709" s="28">
        <f t="shared" si="295"/>
        <v>8470</v>
      </c>
    </row>
    <row r="1710" spans="1:14" s="20" customFormat="1">
      <c r="A1710" s="242"/>
      <c r="B1710" s="231"/>
      <c r="C1710" s="237" t="s">
        <v>46</v>
      </c>
      <c r="D1710" s="27">
        <v>21020143</v>
      </c>
      <c r="E1710" s="237" t="s">
        <v>1029</v>
      </c>
      <c r="F1710" s="136">
        <v>9190028.7270000018</v>
      </c>
      <c r="G1710" s="28">
        <v>9190028.7270000018</v>
      </c>
      <c r="H1710" s="28"/>
      <c r="I1710" s="28"/>
      <c r="J1710" s="28">
        <v>9190028.7270000018</v>
      </c>
      <c r="K1710" s="488"/>
      <c r="L1710" s="467">
        <v>9190028.7270000018</v>
      </c>
      <c r="M1710" s="28">
        <v>10109031.599700002</v>
      </c>
      <c r="N1710" s="28">
        <f t="shared" si="295"/>
        <v>11119934.759670002</v>
      </c>
    </row>
    <row r="1711" spans="1:14" s="20" customFormat="1">
      <c r="A1711" s="242"/>
      <c r="B1711" s="231"/>
      <c r="C1711" s="237" t="s">
        <v>46</v>
      </c>
      <c r="D1711" s="27">
        <v>21020150</v>
      </c>
      <c r="E1711" s="237" t="s">
        <v>1030</v>
      </c>
      <c r="F1711" s="136">
        <v>1670914.3140000014</v>
      </c>
      <c r="G1711" s="28">
        <v>1670914.3140000014</v>
      </c>
      <c r="H1711" s="28"/>
      <c r="I1711" s="28"/>
      <c r="J1711" s="28">
        <v>1670914.3140000014</v>
      </c>
      <c r="K1711" s="488"/>
      <c r="L1711" s="467">
        <v>1670914.3140000014</v>
      </c>
      <c r="M1711" s="28">
        <v>1838005.7454000015</v>
      </c>
      <c r="N1711" s="28">
        <f t="shared" si="295"/>
        <v>2021806.3199400017</v>
      </c>
    </row>
    <row r="1712" spans="1:14" s="20" customFormat="1">
      <c r="A1712" s="238"/>
      <c r="B1712" s="231"/>
      <c r="C1712" s="30" t="s">
        <v>1836</v>
      </c>
      <c r="D1712" s="23"/>
      <c r="E1712" s="25"/>
      <c r="F1712" s="137">
        <f>SUM(F1700:F1711)</f>
        <v>79493619.260123253</v>
      </c>
      <c r="G1712" s="114">
        <f>SUM(G1700:G1711)</f>
        <v>79493619.260123253</v>
      </c>
      <c r="H1712" s="114">
        <f t="shared" ref="H1712:I1712" si="296">SUM(H1700:H1711)</f>
        <v>0</v>
      </c>
      <c r="I1712" s="114">
        <f t="shared" si="296"/>
        <v>0</v>
      </c>
      <c r="J1712" s="114">
        <f>SUM(J1700:J1711)</f>
        <v>79493619.260123253</v>
      </c>
      <c r="K1712" s="490"/>
      <c r="L1712" s="468">
        <f>SUM(L1700:L1711)</f>
        <v>79493619.260123253</v>
      </c>
      <c r="M1712" s="114">
        <f>SUM(M1700:M1711)</f>
        <v>87442981.186135605</v>
      </c>
      <c r="N1712" s="114">
        <f>SUM(N1700:N1711)</f>
        <v>96187279.304749176</v>
      </c>
    </row>
    <row r="1713" spans="1:14" s="20" customFormat="1">
      <c r="A1713" s="242"/>
      <c r="B1713" s="231"/>
      <c r="C1713" s="237" t="s">
        <v>47</v>
      </c>
      <c r="D1713" s="27">
        <v>21020111</v>
      </c>
      <c r="E1713" s="237" t="s">
        <v>883</v>
      </c>
      <c r="F1713" s="136">
        <v>121800</v>
      </c>
      <c r="G1713" s="28">
        <v>121800</v>
      </c>
      <c r="H1713" s="28"/>
      <c r="I1713" s="28"/>
      <c r="J1713" s="28">
        <v>121800</v>
      </c>
      <c r="K1713" s="488">
        <f>J1713*4.38%</f>
        <v>5334.84</v>
      </c>
      <c r="L1713" s="469">
        <v>116465.16</v>
      </c>
      <c r="M1713" s="28">
        <v>121800</v>
      </c>
      <c r="N1713" s="28">
        <v>121800</v>
      </c>
    </row>
    <row r="1714" spans="1:14" s="20" customFormat="1">
      <c r="A1714" s="242"/>
      <c r="B1714" s="231"/>
      <c r="C1714" s="237" t="s">
        <v>47</v>
      </c>
      <c r="D1714" s="27">
        <v>22020105</v>
      </c>
      <c r="E1714" s="237" t="s">
        <v>1733</v>
      </c>
      <c r="F1714" s="136">
        <v>224000</v>
      </c>
      <c r="G1714" s="28">
        <v>224000</v>
      </c>
      <c r="H1714" s="28"/>
      <c r="I1714" s="28"/>
      <c r="J1714" s="28">
        <v>224000</v>
      </c>
      <c r="K1714" s="488">
        <f t="shared" ref="K1714:K1733" si="297">J1714*4.38%</f>
        <v>9811.1999999999989</v>
      </c>
      <c r="L1714" s="469">
        <v>214188.80000000002</v>
      </c>
      <c r="M1714" s="28">
        <v>224000</v>
      </c>
      <c r="N1714" s="28">
        <v>224000</v>
      </c>
    </row>
    <row r="1715" spans="1:14" s="20" customFormat="1">
      <c r="A1715" s="242"/>
      <c r="B1715" s="231"/>
      <c r="C1715" s="237" t="s">
        <v>47</v>
      </c>
      <c r="D1715" s="27">
        <v>22020201</v>
      </c>
      <c r="E1715" s="237" t="s">
        <v>849</v>
      </c>
      <c r="F1715" s="136">
        <v>150000</v>
      </c>
      <c r="G1715" s="28">
        <v>150000</v>
      </c>
      <c r="H1715" s="28"/>
      <c r="I1715" s="28"/>
      <c r="J1715" s="28">
        <v>150000</v>
      </c>
      <c r="K1715" s="488">
        <f t="shared" si="297"/>
        <v>6570</v>
      </c>
      <c r="L1715" s="469">
        <v>143430</v>
      </c>
      <c r="M1715" s="28">
        <v>150000</v>
      </c>
      <c r="N1715" s="28">
        <v>150000</v>
      </c>
    </row>
    <row r="1716" spans="1:14" s="20" customFormat="1">
      <c r="A1716" s="242"/>
      <c r="B1716" s="231"/>
      <c r="C1716" s="237" t="s">
        <v>47</v>
      </c>
      <c r="D1716" s="27">
        <v>22020205</v>
      </c>
      <c r="E1716" s="237" t="s">
        <v>850</v>
      </c>
      <c r="F1716" s="136">
        <v>150000</v>
      </c>
      <c r="G1716" s="28">
        <v>150000</v>
      </c>
      <c r="H1716" s="28"/>
      <c r="I1716" s="28"/>
      <c r="J1716" s="28">
        <v>150000</v>
      </c>
      <c r="K1716" s="488">
        <f t="shared" si="297"/>
        <v>6570</v>
      </c>
      <c r="L1716" s="469">
        <v>143430</v>
      </c>
      <c r="M1716" s="28">
        <v>150000</v>
      </c>
      <c r="N1716" s="28">
        <v>150000</v>
      </c>
    </row>
    <row r="1717" spans="1:14" s="20" customFormat="1">
      <c r="A1717" s="242"/>
      <c r="B1717" s="231"/>
      <c r="C1717" s="237" t="s">
        <v>47</v>
      </c>
      <c r="D1717" s="27">
        <v>22020206</v>
      </c>
      <c r="E1717" s="237" t="s">
        <v>764</v>
      </c>
      <c r="F1717" s="136">
        <v>108000</v>
      </c>
      <c r="G1717" s="28">
        <v>108000</v>
      </c>
      <c r="H1717" s="28"/>
      <c r="I1717" s="28"/>
      <c r="J1717" s="28">
        <v>108000</v>
      </c>
      <c r="K1717" s="488">
        <f t="shared" si="297"/>
        <v>4730.3999999999996</v>
      </c>
      <c r="L1717" s="469">
        <v>103269.6</v>
      </c>
      <c r="M1717" s="28">
        <v>108000</v>
      </c>
      <c r="N1717" s="28">
        <v>108000</v>
      </c>
    </row>
    <row r="1718" spans="1:14" s="20" customFormat="1">
      <c r="A1718" s="242"/>
      <c r="B1718" s="231"/>
      <c r="C1718" s="237" t="s">
        <v>47</v>
      </c>
      <c r="D1718" s="27">
        <v>22020302</v>
      </c>
      <c r="E1718" s="237" t="s">
        <v>872</v>
      </c>
      <c r="F1718" s="136">
        <v>90000</v>
      </c>
      <c r="G1718" s="28">
        <v>90000</v>
      </c>
      <c r="H1718" s="28"/>
      <c r="I1718" s="28"/>
      <c r="J1718" s="28">
        <v>90000</v>
      </c>
      <c r="K1718" s="488">
        <f t="shared" si="297"/>
        <v>3942</v>
      </c>
      <c r="L1718" s="469">
        <v>86058</v>
      </c>
      <c r="M1718" s="28">
        <v>90000</v>
      </c>
      <c r="N1718" s="28">
        <v>90000</v>
      </c>
    </row>
    <row r="1719" spans="1:14" s="20" customFormat="1">
      <c r="A1719" s="242"/>
      <c r="B1719" s="231"/>
      <c r="C1719" s="237" t="s">
        <v>47</v>
      </c>
      <c r="D1719" s="27">
        <v>22020305</v>
      </c>
      <c r="E1719" s="237" t="s">
        <v>755</v>
      </c>
      <c r="F1719" s="136">
        <v>120000</v>
      </c>
      <c r="G1719" s="28">
        <v>120000</v>
      </c>
      <c r="H1719" s="28"/>
      <c r="I1719" s="28"/>
      <c r="J1719" s="28">
        <v>120000</v>
      </c>
      <c r="K1719" s="488">
        <f t="shared" si="297"/>
        <v>5256</v>
      </c>
      <c r="L1719" s="469">
        <v>114744</v>
      </c>
      <c r="M1719" s="28">
        <v>120000</v>
      </c>
      <c r="N1719" s="28">
        <v>120000</v>
      </c>
    </row>
    <row r="1720" spans="1:14" s="20" customFormat="1">
      <c r="A1720" s="242"/>
      <c r="B1720" s="231"/>
      <c r="C1720" s="237" t="s">
        <v>47</v>
      </c>
      <c r="D1720" s="27">
        <v>22020307</v>
      </c>
      <c r="E1720" s="237" t="s">
        <v>822</v>
      </c>
      <c r="F1720" s="136">
        <v>300000</v>
      </c>
      <c r="G1720" s="28">
        <v>300000</v>
      </c>
      <c r="H1720" s="28"/>
      <c r="I1720" s="28"/>
      <c r="J1720" s="28">
        <v>300000</v>
      </c>
      <c r="K1720" s="488">
        <f t="shared" si="297"/>
        <v>13140</v>
      </c>
      <c r="L1720" s="469">
        <v>286860</v>
      </c>
      <c r="M1720" s="28">
        <v>300000</v>
      </c>
      <c r="N1720" s="28">
        <v>300000</v>
      </c>
    </row>
    <row r="1721" spans="1:14" s="20" customFormat="1">
      <c r="A1721" s="242"/>
      <c r="B1721" s="231"/>
      <c r="C1721" s="237" t="s">
        <v>47</v>
      </c>
      <c r="D1721" s="27">
        <v>22020309</v>
      </c>
      <c r="E1721" s="237" t="s">
        <v>739</v>
      </c>
      <c r="F1721" s="136">
        <v>135000</v>
      </c>
      <c r="G1721" s="28">
        <v>135000</v>
      </c>
      <c r="H1721" s="28"/>
      <c r="I1721" s="28"/>
      <c r="J1721" s="28">
        <v>135000</v>
      </c>
      <c r="K1721" s="488">
        <f t="shared" si="297"/>
        <v>5913</v>
      </c>
      <c r="L1721" s="469">
        <v>129087</v>
      </c>
      <c r="M1721" s="28">
        <v>135000</v>
      </c>
      <c r="N1721" s="28">
        <v>135000</v>
      </c>
    </row>
    <row r="1722" spans="1:14" s="20" customFormat="1">
      <c r="A1722" s="242"/>
      <c r="B1722" s="231"/>
      <c r="C1722" s="237" t="s">
        <v>47</v>
      </c>
      <c r="D1722" s="27">
        <v>22020310</v>
      </c>
      <c r="E1722" s="237" t="s">
        <v>819</v>
      </c>
      <c r="F1722" s="136">
        <v>414000</v>
      </c>
      <c r="G1722" s="28">
        <v>414000</v>
      </c>
      <c r="H1722" s="28"/>
      <c r="I1722" s="28"/>
      <c r="J1722" s="28">
        <v>414000</v>
      </c>
      <c r="K1722" s="488">
        <f t="shared" si="297"/>
        <v>18133.2</v>
      </c>
      <c r="L1722" s="469">
        <v>395866.80000000005</v>
      </c>
      <c r="M1722" s="28">
        <v>414000</v>
      </c>
      <c r="N1722" s="28">
        <v>414000</v>
      </c>
    </row>
    <row r="1723" spans="1:14" s="20" customFormat="1">
      <c r="A1723" s="242"/>
      <c r="B1723" s="231"/>
      <c r="C1723" s="237" t="s">
        <v>47</v>
      </c>
      <c r="D1723" s="27">
        <v>22020315</v>
      </c>
      <c r="E1723" s="237" t="s">
        <v>740</v>
      </c>
      <c r="F1723" s="136">
        <v>180000</v>
      </c>
      <c r="G1723" s="28">
        <v>180000</v>
      </c>
      <c r="H1723" s="28"/>
      <c r="I1723" s="28"/>
      <c r="J1723" s="28">
        <v>180000</v>
      </c>
      <c r="K1723" s="488">
        <f t="shared" si="297"/>
        <v>7884</v>
      </c>
      <c r="L1723" s="469">
        <v>172116</v>
      </c>
      <c r="M1723" s="28">
        <v>180000</v>
      </c>
      <c r="N1723" s="28">
        <v>180000</v>
      </c>
    </row>
    <row r="1724" spans="1:14" s="20" customFormat="1">
      <c r="A1724" s="242"/>
      <c r="B1724" s="231"/>
      <c r="C1724" s="237" t="s">
        <v>47</v>
      </c>
      <c r="D1724" s="27">
        <v>22020402</v>
      </c>
      <c r="E1724" s="237" t="s">
        <v>757</v>
      </c>
      <c r="F1724" s="136">
        <v>150000</v>
      </c>
      <c r="G1724" s="28">
        <v>150000</v>
      </c>
      <c r="H1724" s="28"/>
      <c r="I1724" s="28"/>
      <c r="J1724" s="28">
        <v>150000</v>
      </c>
      <c r="K1724" s="488">
        <f t="shared" si="297"/>
        <v>6570</v>
      </c>
      <c r="L1724" s="469">
        <v>143430</v>
      </c>
      <c r="M1724" s="28">
        <v>150000</v>
      </c>
      <c r="N1724" s="28">
        <v>150000</v>
      </c>
    </row>
    <row r="1725" spans="1:14" s="20" customFormat="1">
      <c r="A1725" s="242"/>
      <c r="B1725" s="231"/>
      <c r="C1725" s="237" t="s">
        <v>47</v>
      </c>
      <c r="D1725" s="27">
        <v>22020406</v>
      </c>
      <c r="E1725" s="237" t="s">
        <v>758</v>
      </c>
      <c r="F1725" s="136">
        <v>153000</v>
      </c>
      <c r="G1725" s="28">
        <v>153000</v>
      </c>
      <c r="H1725" s="28"/>
      <c r="I1725" s="28"/>
      <c r="J1725" s="28">
        <v>153000</v>
      </c>
      <c r="K1725" s="488">
        <f t="shared" si="297"/>
        <v>6701.4</v>
      </c>
      <c r="L1725" s="469">
        <v>146298.6</v>
      </c>
      <c r="M1725" s="28">
        <v>153000</v>
      </c>
      <c r="N1725" s="28">
        <v>153000</v>
      </c>
    </row>
    <row r="1726" spans="1:14" s="20" customFormat="1">
      <c r="A1726" s="242"/>
      <c r="B1726" s="231"/>
      <c r="C1726" s="237" t="s">
        <v>47</v>
      </c>
      <c r="D1726" s="27">
        <v>22020601</v>
      </c>
      <c r="E1726" s="237" t="s">
        <v>766</v>
      </c>
      <c r="F1726" s="136">
        <v>1950000</v>
      </c>
      <c r="G1726" s="28">
        <v>950000</v>
      </c>
      <c r="H1726" s="28"/>
      <c r="I1726" s="28"/>
      <c r="J1726" s="28">
        <v>950000</v>
      </c>
      <c r="K1726" s="488">
        <f t="shared" si="297"/>
        <v>41610</v>
      </c>
      <c r="L1726" s="469">
        <v>908390</v>
      </c>
      <c r="M1726" s="28">
        <v>1950000</v>
      </c>
      <c r="N1726" s="28">
        <v>1950000</v>
      </c>
    </row>
    <row r="1727" spans="1:14" s="20" customFormat="1">
      <c r="A1727" s="242"/>
      <c r="B1727" s="231"/>
      <c r="C1727" s="237" t="s">
        <v>47</v>
      </c>
      <c r="D1727" s="27">
        <v>22020605</v>
      </c>
      <c r="E1727" s="237" t="s">
        <v>768</v>
      </c>
      <c r="F1727" s="136">
        <v>120000</v>
      </c>
      <c r="G1727" s="28">
        <v>120000</v>
      </c>
      <c r="H1727" s="28"/>
      <c r="I1727" s="28"/>
      <c r="J1727" s="28">
        <v>120000</v>
      </c>
      <c r="K1727" s="488">
        <f t="shared" si="297"/>
        <v>5256</v>
      </c>
      <c r="L1727" s="469">
        <v>114744</v>
      </c>
      <c r="M1727" s="28">
        <v>120000</v>
      </c>
      <c r="N1727" s="28">
        <v>120000</v>
      </c>
    </row>
    <row r="1728" spans="1:14" s="20" customFormat="1">
      <c r="A1728" s="242"/>
      <c r="B1728" s="231"/>
      <c r="C1728" s="237" t="s">
        <v>47</v>
      </c>
      <c r="D1728" s="27">
        <v>22020709</v>
      </c>
      <c r="E1728" s="237" t="s">
        <v>771</v>
      </c>
      <c r="F1728" s="136">
        <v>300000</v>
      </c>
      <c r="G1728" s="28">
        <v>300000</v>
      </c>
      <c r="H1728" s="28"/>
      <c r="I1728" s="28"/>
      <c r="J1728" s="28">
        <v>300000</v>
      </c>
      <c r="K1728" s="488">
        <f t="shared" si="297"/>
        <v>13140</v>
      </c>
      <c r="L1728" s="469">
        <v>286860</v>
      </c>
      <c r="M1728" s="28">
        <v>300000</v>
      </c>
      <c r="N1728" s="28">
        <v>300000</v>
      </c>
    </row>
    <row r="1729" spans="1:14" s="20" customFormat="1">
      <c r="A1729" s="242"/>
      <c r="B1729" s="231"/>
      <c r="C1729" s="237" t="s">
        <v>47</v>
      </c>
      <c r="D1729" s="27">
        <v>22020803</v>
      </c>
      <c r="E1729" s="237" t="s">
        <v>748</v>
      </c>
      <c r="F1729" s="136">
        <v>204000</v>
      </c>
      <c r="G1729" s="28">
        <v>204000</v>
      </c>
      <c r="H1729" s="28"/>
      <c r="I1729" s="28"/>
      <c r="J1729" s="28">
        <v>204000</v>
      </c>
      <c r="K1729" s="488">
        <f t="shared" si="297"/>
        <v>8935.1999999999989</v>
      </c>
      <c r="L1729" s="469">
        <v>195064.80000000002</v>
      </c>
      <c r="M1729" s="28">
        <v>204000</v>
      </c>
      <c r="N1729" s="28">
        <v>204000</v>
      </c>
    </row>
    <row r="1730" spans="1:14" s="20" customFormat="1">
      <c r="A1730" s="242"/>
      <c r="B1730" s="231"/>
      <c r="C1730" s="237" t="s">
        <v>47</v>
      </c>
      <c r="D1730" s="27">
        <v>22020901</v>
      </c>
      <c r="E1730" s="237" t="s">
        <v>749</v>
      </c>
      <c r="F1730" s="136">
        <v>180000</v>
      </c>
      <c r="G1730" s="28">
        <v>180000</v>
      </c>
      <c r="H1730" s="28"/>
      <c r="I1730" s="28"/>
      <c r="J1730" s="28">
        <v>180000</v>
      </c>
      <c r="K1730" s="488">
        <f t="shared" si="297"/>
        <v>7884</v>
      </c>
      <c r="L1730" s="469">
        <v>172116</v>
      </c>
      <c r="M1730" s="28">
        <v>180000</v>
      </c>
      <c r="N1730" s="28">
        <v>180000</v>
      </c>
    </row>
    <row r="1731" spans="1:14" s="20" customFormat="1">
      <c r="A1731" s="242"/>
      <c r="B1731" s="231"/>
      <c r="C1731" s="237" t="s">
        <v>47</v>
      </c>
      <c r="D1731" s="27">
        <v>22021001</v>
      </c>
      <c r="E1731" s="237" t="s">
        <v>772</v>
      </c>
      <c r="F1731" s="136">
        <v>180000</v>
      </c>
      <c r="G1731" s="28">
        <v>180000</v>
      </c>
      <c r="H1731" s="28"/>
      <c r="I1731" s="28"/>
      <c r="J1731" s="28">
        <v>180000</v>
      </c>
      <c r="K1731" s="488">
        <f t="shared" si="297"/>
        <v>7884</v>
      </c>
      <c r="L1731" s="469">
        <v>172116</v>
      </c>
      <c r="M1731" s="28">
        <v>180000</v>
      </c>
      <c r="N1731" s="28">
        <v>180000</v>
      </c>
    </row>
    <row r="1732" spans="1:14" s="20" customFormat="1">
      <c r="A1732" s="242"/>
      <c r="B1732" s="231"/>
      <c r="C1732" s="237" t="s">
        <v>47</v>
      </c>
      <c r="D1732" s="27">
        <v>22021009</v>
      </c>
      <c r="E1732" s="237" t="s">
        <v>873</v>
      </c>
      <c r="F1732" s="136">
        <v>120000</v>
      </c>
      <c r="G1732" s="28">
        <v>300000</v>
      </c>
      <c r="H1732" s="28"/>
      <c r="I1732" s="28"/>
      <c r="J1732" s="28">
        <v>300000</v>
      </c>
      <c r="K1732" s="488">
        <f t="shared" si="297"/>
        <v>13140</v>
      </c>
      <c r="L1732" s="469">
        <v>286860</v>
      </c>
      <c r="M1732" s="28">
        <v>120000</v>
      </c>
      <c r="N1732" s="28">
        <v>120000</v>
      </c>
    </row>
    <row r="1733" spans="1:14" s="20" customFormat="1">
      <c r="A1733" s="238"/>
      <c r="B1733" s="231"/>
      <c r="C1733" s="30" t="s">
        <v>1839</v>
      </c>
      <c r="D1733" s="23"/>
      <c r="E1733" s="25"/>
      <c r="F1733" s="137">
        <f>SUM(F1713:F1732)</f>
        <v>5349800</v>
      </c>
      <c r="G1733" s="114">
        <f>SUM(G1713:G1732)</f>
        <v>4529800</v>
      </c>
      <c r="H1733" s="114">
        <f t="shared" ref="H1733:I1733" si="298">SUM(H1713:H1732)</f>
        <v>0</v>
      </c>
      <c r="I1733" s="114">
        <f t="shared" si="298"/>
        <v>0</v>
      </c>
      <c r="J1733" s="114">
        <f>SUM(J1713:J1732)</f>
        <v>4529800</v>
      </c>
      <c r="K1733" s="490">
        <f t="shared" si="297"/>
        <v>198405.24</v>
      </c>
      <c r="L1733" s="468">
        <f>SUM(L1713:L1732)</f>
        <v>4331394.76</v>
      </c>
      <c r="M1733" s="114">
        <f>SUM(M1713:M1732)</f>
        <v>5349800</v>
      </c>
      <c r="N1733" s="114">
        <f>SUM(N1713:N1732)</f>
        <v>5349800</v>
      </c>
    </row>
    <row r="1734" spans="1:14" s="66" customFormat="1">
      <c r="A1734" s="238" t="s">
        <v>1019</v>
      </c>
      <c r="B1734" s="231" t="s">
        <v>1808</v>
      </c>
      <c r="C1734" s="30"/>
      <c r="D1734" s="23"/>
      <c r="E1734" s="25"/>
      <c r="F1734" s="137">
        <f>F1733+F1712</f>
        <v>84843419.260123253</v>
      </c>
      <c r="G1734" s="114">
        <f>G1733+G1712</f>
        <v>84023419.260123253</v>
      </c>
      <c r="H1734" s="114">
        <f t="shared" ref="H1734:I1734" si="299">H1733+H1712</f>
        <v>0</v>
      </c>
      <c r="I1734" s="114">
        <f t="shared" si="299"/>
        <v>0</v>
      </c>
      <c r="J1734" s="114">
        <f>J1733+J1712</f>
        <v>84023419.260123253</v>
      </c>
      <c r="K1734" s="490"/>
      <c r="L1734" s="468">
        <f>L1733+L1712</f>
        <v>83825014.020123258</v>
      </c>
      <c r="M1734" s="114">
        <f>M1733+M1712</f>
        <v>92792781.186135605</v>
      </c>
      <c r="N1734" s="114">
        <f>N1733+N1712</f>
        <v>101537079.30474918</v>
      </c>
    </row>
    <row r="1735" spans="1:14" s="20" customFormat="1" ht="21">
      <c r="A1735" s="252"/>
      <c r="B1735" s="443"/>
      <c r="C1735" s="228"/>
      <c r="D1735" s="229"/>
      <c r="E1735" s="230"/>
      <c r="F1735" s="215"/>
      <c r="G1735" s="296"/>
      <c r="H1735" s="296"/>
      <c r="I1735" s="296"/>
      <c r="J1735" s="28"/>
      <c r="K1735" s="488"/>
      <c r="L1735" s="468"/>
      <c r="M1735" s="296"/>
      <c r="N1735" s="296"/>
    </row>
    <row r="1736" spans="1:14" s="20" customFormat="1">
      <c r="A1736" s="238" t="s">
        <v>1783</v>
      </c>
      <c r="B1736" s="231" t="s">
        <v>204</v>
      </c>
      <c r="C1736" s="237" t="s">
        <v>46</v>
      </c>
      <c r="D1736" s="27">
        <v>21010101</v>
      </c>
      <c r="E1736" s="237" t="s">
        <v>725</v>
      </c>
      <c r="F1736" s="136">
        <v>40373954.99999997</v>
      </c>
      <c r="G1736" s="28">
        <v>40373954.99999997</v>
      </c>
      <c r="H1736" s="28"/>
      <c r="I1736" s="28"/>
      <c r="J1736" s="28">
        <v>40373954.99999997</v>
      </c>
      <c r="K1736" s="488"/>
      <c r="L1736" s="467">
        <v>40373954.99999997</v>
      </c>
      <c r="M1736" s="28">
        <f>G1736*10%+G1736</f>
        <v>44411350.49999997</v>
      </c>
      <c r="N1736" s="28">
        <f>M1736*10%+M1736</f>
        <v>48852485.549999967</v>
      </c>
    </row>
    <row r="1737" spans="1:14" s="20" customFormat="1">
      <c r="A1737" s="238"/>
      <c r="B1737" s="231"/>
      <c r="C1737" s="30" t="s">
        <v>1836</v>
      </c>
      <c r="D1737" s="23"/>
      <c r="E1737" s="25"/>
      <c r="F1737" s="137">
        <f>SUM(F1736)</f>
        <v>40373954.99999997</v>
      </c>
      <c r="G1737" s="114">
        <f>SUM(G1736)</f>
        <v>40373954.99999997</v>
      </c>
      <c r="H1737" s="114">
        <f t="shared" ref="H1737:I1737" si="300">SUM(H1736)</f>
        <v>0</v>
      </c>
      <c r="I1737" s="114">
        <f t="shared" si="300"/>
        <v>0</v>
      </c>
      <c r="J1737" s="114">
        <f>SUM(J1736)</f>
        <v>40373954.99999997</v>
      </c>
      <c r="K1737" s="490"/>
      <c r="L1737" s="468">
        <f>SUM(L1736)</f>
        <v>40373954.99999997</v>
      </c>
      <c r="M1737" s="114">
        <f>SUM(M1736)</f>
        <v>44411350.49999997</v>
      </c>
      <c r="N1737" s="114">
        <f>SUM(N1736)</f>
        <v>48852485.549999967</v>
      </c>
    </row>
    <row r="1738" spans="1:14" s="20" customFormat="1">
      <c r="A1738" s="242"/>
      <c r="B1738" s="231"/>
      <c r="C1738" s="237" t="s">
        <v>47</v>
      </c>
      <c r="D1738" s="27">
        <v>22020105</v>
      </c>
      <c r="E1738" s="237" t="s">
        <v>1713</v>
      </c>
      <c r="F1738" s="136">
        <v>210000</v>
      </c>
      <c r="G1738" s="28">
        <v>210000</v>
      </c>
      <c r="H1738" s="28"/>
      <c r="I1738" s="28"/>
      <c r="J1738" s="28">
        <v>210000</v>
      </c>
      <c r="K1738" s="488">
        <f>J1738*4.38%</f>
        <v>9198</v>
      </c>
      <c r="L1738" s="469">
        <v>200802</v>
      </c>
      <c r="M1738" s="28">
        <v>210000</v>
      </c>
      <c r="N1738" s="28">
        <v>210000</v>
      </c>
    </row>
    <row r="1739" spans="1:14" s="20" customFormat="1">
      <c r="A1739" s="242"/>
      <c r="B1739" s="231"/>
      <c r="C1739" s="237" t="s">
        <v>47</v>
      </c>
      <c r="D1739" s="27">
        <v>22020301</v>
      </c>
      <c r="E1739" s="237" t="s">
        <v>737</v>
      </c>
      <c r="F1739" s="136">
        <v>280000</v>
      </c>
      <c r="G1739" s="28">
        <v>280000</v>
      </c>
      <c r="H1739" s="28"/>
      <c r="I1739" s="28"/>
      <c r="J1739" s="28">
        <v>280000</v>
      </c>
      <c r="K1739" s="488">
        <f t="shared" ref="K1739:K1752" si="301">J1739*4.38%</f>
        <v>12264</v>
      </c>
      <c r="L1739" s="469">
        <v>267736</v>
      </c>
      <c r="M1739" s="28">
        <v>280000</v>
      </c>
      <c r="N1739" s="28">
        <v>280000</v>
      </c>
    </row>
    <row r="1740" spans="1:14" s="20" customFormat="1">
      <c r="A1740" s="242"/>
      <c r="B1740" s="231"/>
      <c r="C1740" s="237" t="s">
        <v>47</v>
      </c>
      <c r="D1740" s="27">
        <v>22020302</v>
      </c>
      <c r="E1740" s="237" t="s">
        <v>872</v>
      </c>
      <c r="F1740" s="136">
        <v>231000</v>
      </c>
      <c r="G1740" s="28">
        <v>231000</v>
      </c>
      <c r="H1740" s="28"/>
      <c r="I1740" s="28"/>
      <c r="J1740" s="28">
        <v>231000</v>
      </c>
      <c r="K1740" s="488">
        <f t="shared" si="301"/>
        <v>10117.799999999999</v>
      </c>
      <c r="L1740" s="469">
        <v>220882.2</v>
      </c>
      <c r="M1740" s="28">
        <v>231000</v>
      </c>
      <c r="N1740" s="28">
        <v>231000</v>
      </c>
    </row>
    <row r="1741" spans="1:14" s="20" customFormat="1">
      <c r="A1741" s="242"/>
      <c r="B1741" s="231"/>
      <c r="C1741" s="237" t="s">
        <v>47</v>
      </c>
      <c r="D1741" s="27">
        <v>22020305</v>
      </c>
      <c r="E1741" s="237" t="s">
        <v>755</v>
      </c>
      <c r="F1741" s="136">
        <v>350000</v>
      </c>
      <c r="G1741" s="28">
        <v>350000</v>
      </c>
      <c r="H1741" s="28"/>
      <c r="I1741" s="28"/>
      <c r="J1741" s="28">
        <v>350000</v>
      </c>
      <c r="K1741" s="488">
        <f t="shared" si="301"/>
        <v>15330</v>
      </c>
      <c r="L1741" s="469">
        <v>334670</v>
      </c>
      <c r="M1741" s="28">
        <v>350000</v>
      </c>
      <c r="N1741" s="28">
        <v>350000</v>
      </c>
    </row>
    <row r="1742" spans="1:14" s="20" customFormat="1">
      <c r="A1742" s="242"/>
      <c r="B1742" s="231"/>
      <c r="C1742" s="237" t="s">
        <v>47</v>
      </c>
      <c r="D1742" s="27">
        <v>22020307</v>
      </c>
      <c r="E1742" s="237" t="s">
        <v>822</v>
      </c>
      <c r="F1742" s="136">
        <v>216000</v>
      </c>
      <c r="G1742" s="28">
        <v>216000</v>
      </c>
      <c r="H1742" s="28"/>
      <c r="I1742" s="28"/>
      <c r="J1742" s="28">
        <v>216000</v>
      </c>
      <c r="K1742" s="488">
        <f t="shared" si="301"/>
        <v>9460.7999999999993</v>
      </c>
      <c r="L1742" s="469">
        <v>206539.2</v>
      </c>
      <c r="M1742" s="28">
        <v>216000</v>
      </c>
      <c r="N1742" s="28">
        <v>216000</v>
      </c>
    </row>
    <row r="1743" spans="1:14" s="20" customFormat="1">
      <c r="A1743" s="242"/>
      <c r="B1743" s="231"/>
      <c r="C1743" s="237" t="s">
        <v>47</v>
      </c>
      <c r="D1743" s="27">
        <v>22020310</v>
      </c>
      <c r="E1743" s="237" t="s">
        <v>819</v>
      </c>
      <c r="F1743" s="136">
        <v>210000</v>
      </c>
      <c r="G1743" s="28">
        <v>210000</v>
      </c>
      <c r="H1743" s="28"/>
      <c r="I1743" s="28"/>
      <c r="J1743" s="28">
        <v>210000</v>
      </c>
      <c r="K1743" s="488">
        <f t="shared" si="301"/>
        <v>9198</v>
      </c>
      <c r="L1743" s="469">
        <v>200802</v>
      </c>
      <c r="M1743" s="28">
        <v>210000</v>
      </c>
      <c r="N1743" s="28">
        <v>210000</v>
      </c>
    </row>
    <row r="1744" spans="1:14" s="20" customFormat="1">
      <c r="A1744" s="242"/>
      <c r="B1744" s="231"/>
      <c r="C1744" s="237" t="s">
        <v>47</v>
      </c>
      <c r="D1744" s="27">
        <v>22020401</v>
      </c>
      <c r="E1744" s="237" t="s">
        <v>741</v>
      </c>
      <c r="F1744" s="136">
        <v>366000</v>
      </c>
      <c r="G1744" s="28">
        <v>366000</v>
      </c>
      <c r="H1744" s="28"/>
      <c r="I1744" s="28"/>
      <c r="J1744" s="28">
        <v>366000</v>
      </c>
      <c r="K1744" s="488">
        <f t="shared" si="301"/>
        <v>16030.8</v>
      </c>
      <c r="L1744" s="469">
        <v>349969.2</v>
      </c>
      <c r="M1744" s="28">
        <v>366000</v>
      </c>
      <c r="N1744" s="28">
        <v>366000</v>
      </c>
    </row>
    <row r="1745" spans="1:14" s="20" customFormat="1">
      <c r="A1745" s="242"/>
      <c r="B1745" s="231"/>
      <c r="C1745" s="237" t="s">
        <v>47</v>
      </c>
      <c r="D1745" s="27">
        <v>22020403</v>
      </c>
      <c r="E1745" s="237" t="s">
        <v>781</v>
      </c>
      <c r="F1745" s="136">
        <v>397500</v>
      </c>
      <c r="G1745" s="28">
        <v>397500</v>
      </c>
      <c r="H1745" s="28"/>
      <c r="I1745" s="28"/>
      <c r="J1745" s="28">
        <v>397500</v>
      </c>
      <c r="K1745" s="488">
        <f t="shared" si="301"/>
        <v>17410.5</v>
      </c>
      <c r="L1745" s="469">
        <v>380089.5</v>
      </c>
      <c r="M1745" s="28">
        <v>397500</v>
      </c>
      <c r="N1745" s="28">
        <v>397500</v>
      </c>
    </row>
    <row r="1746" spans="1:14" s="20" customFormat="1">
      <c r="A1746" s="242"/>
      <c r="B1746" s="231"/>
      <c r="C1746" s="237" t="s">
        <v>47</v>
      </c>
      <c r="D1746" s="27">
        <v>22020405</v>
      </c>
      <c r="E1746" s="237" t="s">
        <v>743</v>
      </c>
      <c r="F1746" s="136">
        <v>112500</v>
      </c>
      <c r="G1746" s="28">
        <v>112500</v>
      </c>
      <c r="H1746" s="28"/>
      <c r="I1746" s="28"/>
      <c r="J1746" s="28">
        <v>112500</v>
      </c>
      <c r="K1746" s="488">
        <f t="shared" si="301"/>
        <v>4927.5</v>
      </c>
      <c r="L1746" s="469">
        <v>107572.5</v>
      </c>
      <c r="M1746" s="28">
        <v>112500</v>
      </c>
      <c r="N1746" s="28">
        <v>112500</v>
      </c>
    </row>
    <row r="1747" spans="1:14" s="20" customFormat="1">
      <c r="A1747" s="242"/>
      <c r="B1747" s="231"/>
      <c r="C1747" s="237" t="s">
        <v>47</v>
      </c>
      <c r="D1747" s="27">
        <v>22020416</v>
      </c>
      <c r="E1747" s="237" t="s">
        <v>782</v>
      </c>
      <c r="F1747" s="136">
        <v>345000</v>
      </c>
      <c r="G1747" s="28">
        <v>345000</v>
      </c>
      <c r="H1747" s="28"/>
      <c r="I1747" s="28"/>
      <c r="J1747" s="28">
        <v>345000</v>
      </c>
      <c r="K1747" s="488">
        <f t="shared" si="301"/>
        <v>15111</v>
      </c>
      <c r="L1747" s="469">
        <v>329889</v>
      </c>
      <c r="M1747" s="28">
        <v>345000</v>
      </c>
      <c r="N1747" s="28">
        <v>345000</v>
      </c>
    </row>
    <row r="1748" spans="1:14" s="20" customFormat="1">
      <c r="A1748" s="242"/>
      <c r="B1748" s="231"/>
      <c r="C1748" s="237" t="s">
        <v>47</v>
      </c>
      <c r="D1748" s="27">
        <v>22020601</v>
      </c>
      <c r="E1748" s="237" t="s">
        <v>766</v>
      </c>
      <c r="F1748" s="136">
        <v>525000</v>
      </c>
      <c r="G1748" s="28">
        <v>525000</v>
      </c>
      <c r="H1748" s="28"/>
      <c r="I1748" s="28"/>
      <c r="J1748" s="28">
        <v>525000</v>
      </c>
      <c r="K1748" s="488">
        <f t="shared" si="301"/>
        <v>22995</v>
      </c>
      <c r="L1748" s="469">
        <v>502005</v>
      </c>
      <c r="M1748" s="28">
        <v>525000</v>
      </c>
      <c r="N1748" s="28">
        <v>525000</v>
      </c>
    </row>
    <row r="1749" spans="1:14" s="20" customFormat="1">
      <c r="A1749" s="242"/>
      <c r="B1749" s="231"/>
      <c r="C1749" s="237" t="s">
        <v>47</v>
      </c>
      <c r="D1749" s="27">
        <v>22020709</v>
      </c>
      <c r="E1749" s="237" t="s">
        <v>771</v>
      </c>
      <c r="F1749" s="136">
        <v>300000</v>
      </c>
      <c r="G1749" s="28">
        <v>300000</v>
      </c>
      <c r="H1749" s="28"/>
      <c r="I1749" s="28"/>
      <c r="J1749" s="28">
        <v>300000</v>
      </c>
      <c r="K1749" s="488">
        <f t="shared" si="301"/>
        <v>13140</v>
      </c>
      <c r="L1749" s="469">
        <v>286860</v>
      </c>
      <c r="M1749" s="28">
        <v>300000</v>
      </c>
      <c r="N1749" s="28">
        <v>300000</v>
      </c>
    </row>
    <row r="1750" spans="1:14" s="20" customFormat="1">
      <c r="A1750" s="242"/>
      <c r="B1750" s="231"/>
      <c r="C1750" s="237" t="s">
        <v>47</v>
      </c>
      <c r="D1750" s="27">
        <v>22020901</v>
      </c>
      <c r="E1750" s="237" t="s">
        <v>749</v>
      </c>
      <c r="F1750" s="136">
        <v>150000</v>
      </c>
      <c r="G1750" s="28">
        <v>5000</v>
      </c>
      <c r="H1750" s="28"/>
      <c r="I1750" s="28"/>
      <c r="J1750" s="28">
        <v>5000</v>
      </c>
      <c r="K1750" s="488">
        <f t="shared" si="301"/>
        <v>219</v>
      </c>
      <c r="L1750" s="469">
        <v>4781</v>
      </c>
      <c r="M1750" s="28">
        <v>150000</v>
      </c>
      <c r="N1750" s="28">
        <v>150000</v>
      </c>
    </row>
    <row r="1751" spans="1:14" s="20" customFormat="1">
      <c r="A1751" s="242"/>
      <c r="B1751" s="231"/>
      <c r="C1751" s="237" t="s">
        <v>47</v>
      </c>
      <c r="D1751" s="27">
        <v>22021009</v>
      </c>
      <c r="E1751" s="237" t="s">
        <v>873</v>
      </c>
      <c r="F1751" s="136"/>
      <c r="G1751" s="28">
        <v>300000</v>
      </c>
      <c r="H1751" s="28"/>
      <c r="I1751" s="28"/>
      <c r="J1751" s="28">
        <v>300000</v>
      </c>
      <c r="K1751" s="488">
        <f t="shared" si="301"/>
        <v>13140</v>
      </c>
      <c r="L1751" s="469">
        <v>286860</v>
      </c>
      <c r="M1751" s="28"/>
      <c r="N1751" s="28"/>
    </row>
    <row r="1752" spans="1:14" s="20" customFormat="1">
      <c r="A1752" s="238"/>
      <c r="B1752" s="231"/>
      <c r="C1752" s="30" t="s">
        <v>1837</v>
      </c>
      <c r="D1752" s="23"/>
      <c r="E1752" s="25"/>
      <c r="F1752" s="137">
        <f>SUM(F1738:F1750)</f>
        <v>3693000</v>
      </c>
      <c r="G1752" s="114">
        <f>SUM(G1738:G1751)</f>
        <v>3848000</v>
      </c>
      <c r="H1752" s="114">
        <f t="shared" ref="H1752:I1752" si="302">SUM(H1738:H1751)</f>
        <v>0</v>
      </c>
      <c r="I1752" s="114">
        <f t="shared" si="302"/>
        <v>0</v>
      </c>
      <c r="J1752" s="114">
        <f>SUM(J1738:J1751)</f>
        <v>3848000</v>
      </c>
      <c r="K1752" s="490">
        <f t="shared" si="301"/>
        <v>168542.4</v>
      </c>
      <c r="L1752" s="468">
        <f>SUM(L1738:L1751)</f>
        <v>3679457.5999999996</v>
      </c>
      <c r="M1752" s="114">
        <f>SUM(M1738:M1750)</f>
        <v>3693000</v>
      </c>
      <c r="N1752" s="114">
        <f>SUM(N1738:N1750)</f>
        <v>3693000</v>
      </c>
    </row>
    <row r="1753" spans="1:14" s="66" customFormat="1">
      <c r="A1753" s="238">
        <v>17026005</v>
      </c>
      <c r="B1753" s="231" t="s">
        <v>1809</v>
      </c>
      <c r="C1753" s="30"/>
      <c r="D1753" s="23"/>
      <c r="E1753" s="25"/>
      <c r="F1753" s="137">
        <f>F1752+F1737</f>
        <v>44066954.99999997</v>
      </c>
      <c r="G1753" s="114">
        <f>G1752+G1737</f>
        <v>44221954.99999997</v>
      </c>
      <c r="H1753" s="114">
        <f t="shared" ref="H1753:I1753" si="303">H1752+H1737</f>
        <v>0</v>
      </c>
      <c r="I1753" s="114">
        <f t="shared" si="303"/>
        <v>0</v>
      </c>
      <c r="J1753" s="114">
        <f>J1752+J1737</f>
        <v>44221954.99999997</v>
      </c>
      <c r="K1753" s="490"/>
      <c r="L1753" s="468">
        <f>L1752+L1737</f>
        <v>44053412.599999972</v>
      </c>
      <c r="M1753" s="114">
        <f>M1752+M1737</f>
        <v>48104350.49999997</v>
      </c>
      <c r="N1753" s="114">
        <f>N1752+N1737</f>
        <v>52545485.549999967</v>
      </c>
    </row>
    <row r="1754" spans="1:14" s="20" customFormat="1" ht="21">
      <c r="A1754" s="252"/>
      <c r="B1754" s="443"/>
      <c r="C1754" s="228"/>
      <c r="D1754" s="229"/>
      <c r="E1754" s="230"/>
      <c r="F1754" s="215"/>
      <c r="G1754" s="296"/>
      <c r="H1754" s="296"/>
      <c r="I1754" s="296"/>
      <c r="J1754" s="28"/>
      <c r="K1754" s="488"/>
      <c r="L1754" s="468"/>
      <c r="M1754" s="296"/>
      <c r="N1754" s="296"/>
    </row>
    <row r="1755" spans="1:14" s="20" customFormat="1" ht="17.25" customHeight="1">
      <c r="A1755" s="238" t="s">
        <v>1031</v>
      </c>
      <c r="B1755" s="231" t="s">
        <v>144</v>
      </c>
      <c r="C1755" s="237" t="s">
        <v>46</v>
      </c>
      <c r="D1755" s="27">
        <v>21010101</v>
      </c>
      <c r="E1755" s="237" t="s">
        <v>725</v>
      </c>
      <c r="F1755" s="136">
        <v>72470232.032999963</v>
      </c>
      <c r="G1755" s="28">
        <v>72470232.032999963</v>
      </c>
      <c r="H1755" s="28"/>
      <c r="I1755" s="28"/>
      <c r="J1755" s="28">
        <v>72470232.032999963</v>
      </c>
      <c r="K1755" s="488"/>
      <c r="L1755" s="467">
        <v>72470232.032999963</v>
      </c>
      <c r="M1755" s="28">
        <f>G1755*10%+G1755</f>
        <v>79717255.236299962</v>
      </c>
      <c r="N1755" s="28">
        <f>M1755*10%+M1755</f>
        <v>87688980.759929955</v>
      </c>
    </row>
    <row r="1756" spans="1:14" s="20" customFormat="1">
      <c r="A1756" s="238"/>
      <c r="B1756" s="231"/>
      <c r="C1756" s="30" t="s">
        <v>1836</v>
      </c>
      <c r="D1756" s="23"/>
      <c r="E1756" s="25"/>
      <c r="F1756" s="137">
        <f>SUM(F1755)</f>
        <v>72470232.032999963</v>
      </c>
      <c r="G1756" s="114">
        <f>SUM(G1755)</f>
        <v>72470232.032999963</v>
      </c>
      <c r="H1756" s="114">
        <f t="shared" ref="H1756:I1756" si="304">SUM(H1755)</f>
        <v>0</v>
      </c>
      <c r="I1756" s="114">
        <f t="shared" si="304"/>
        <v>0</v>
      </c>
      <c r="J1756" s="114">
        <f>SUM(J1755)</f>
        <v>72470232.032999963</v>
      </c>
      <c r="K1756" s="490"/>
      <c r="L1756" s="468">
        <f>SUM(L1755)</f>
        <v>72470232.032999963</v>
      </c>
      <c r="M1756" s="114">
        <f>SUM(M1755)</f>
        <v>79717255.236299962</v>
      </c>
      <c r="N1756" s="114">
        <f>SUM(N1755)</f>
        <v>87688980.759929955</v>
      </c>
    </row>
    <row r="1757" spans="1:14" s="20" customFormat="1">
      <c r="A1757" s="242"/>
      <c r="B1757" s="231"/>
      <c r="C1757" s="237" t="s">
        <v>47</v>
      </c>
      <c r="D1757" s="27">
        <v>22020105</v>
      </c>
      <c r="E1757" s="237" t="s">
        <v>1733</v>
      </c>
      <c r="F1757" s="136">
        <v>100000</v>
      </c>
      <c r="G1757" s="28">
        <v>100000</v>
      </c>
      <c r="H1757" s="28"/>
      <c r="I1757" s="28"/>
      <c r="J1757" s="28">
        <v>100000</v>
      </c>
      <c r="K1757" s="488">
        <f>J1757*4.38%</f>
        <v>4380</v>
      </c>
      <c r="L1757" s="469">
        <v>95620</v>
      </c>
      <c r="M1757" s="28">
        <v>100000</v>
      </c>
      <c r="N1757" s="28">
        <v>100000</v>
      </c>
    </row>
    <row r="1758" spans="1:14" s="20" customFormat="1">
      <c r="A1758" s="242"/>
      <c r="B1758" s="231"/>
      <c r="C1758" s="237" t="s">
        <v>47</v>
      </c>
      <c r="D1758" s="27">
        <v>22020108</v>
      </c>
      <c r="E1758" s="237" t="s">
        <v>812</v>
      </c>
      <c r="F1758" s="136">
        <v>50000</v>
      </c>
      <c r="G1758" s="28">
        <v>50000</v>
      </c>
      <c r="H1758" s="28"/>
      <c r="I1758" s="28"/>
      <c r="J1758" s="28">
        <v>50000</v>
      </c>
      <c r="K1758" s="488">
        <f t="shared" ref="K1758:K1781" si="305">J1758*4.38%</f>
        <v>2190</v>
      </c>
      <c r="L1758" s="469">
        <v>47810</v>
      </c>
      <c r="M1758" s="28">
        <v>50000</v>
      </c>
      <c r="N1758" s="28">
        <v>50000</v>
      </c>
    </row>
    <row r="1759" spans="1:14" s="20" customFormat="1">
      <c r="A1759" s="242"/>
      <c r="B1759" s="231"/>
      <c r="C1759" s="237" t="s">
        <v>47</v>
      </c>
      <c r="D1759" s="27">
        <v>22020114</v>
      </c>
      <c r="E1759" s="237" t="s">
        <v>830</v>
      </c>
      <c r="F1759" s="136">
        <v>50000</v>
      </c>
      <c r="G1759" s="28">
        <v>50000</v>
      </c>
      <c r="H1759" s="28"/>
      <c r="I1759" s="28"/>
      <c r="J1759" s="28">
        <v>50000</v>
      </c>
      <c r="K1759" s="488">
        <f t="shared" si="305"/>
        <v>2190</v>
      </c>
      <c r="L1759" s="469">
        <v>47810</v>
      </c>
      <c r="M1759" s="28">
        <v>50000</v>
      </c>
      <c r="N1759" s="28">
        <v>50000</v>
      </c>
    </row>
    <row r="1760" spans="1:14" s="20" customFormat="1">
      <c r="A1760" s="242"/>
      <c r="B1760" s="231"/>
      <c r="C1760" s="237" t="s">
        <v>47</v>
      </c>
      <c r="D1760" s="27">
        <v>22020201</v>
      </c>
      <c r="E1760" s="237" t="s">
        <v>849</v>
      </c>
      <c r="F1760" s="136">
        <v>240000</v>
      </c>
      <c r="G1760" s="28">
        <v>240000</v>
      </c>
      <c r="H1760" s="28"/>
      <c r="I1760" s="28"/>
      <c r="J1760" s="28">
        <v>240000</v>
      </c>
      <c r="K1760" s="488">
        <f t="shared" si="305"/>
        <v>10512</v>
      </c>
      <c r="L1760" s="469">
        <v>229488</v>
      </c>
      <c r="M1760" s="28">
        <v>240000</v>
      </c>
      <c r="N1760" s="28">
        <v>240000</v>
      </c>
    </row>
    <row r="1761" spans="1:14" s="20" customFormat="1">
      <c r="A1761" s="242"/>
      <c r="B1761" s="231"/>
      <c r="C1761" s="237" t="s">
        <v>47</v>
      </c>
      <c r="D1761" s="27">
        <v>22020202</v>
      </c>
      <c r="E1761" s="237" t="s">
        <v>865</v>
      </c>
      <c r="F1761" s="136">
        <v>40500</v>
      </c>
      <c r="G1761" s="28">
        <v>40500</v>
      </c>
      <c r="H1761" s="28"/>
      <c r="I1761" s="28"/>
      <c r="J1761" s="28">
        <v>40500</v>
      </c>
      <c r="K1761" s="488">
        <f t="shared" si="305"/>
        <v>1773.8999999999999</v>
      </c>
      <c r="L1761" s="469">
        <v>38726.1</v>
      </c>
      <c r="M1761" s="28">
        <v>40500</v>
      </c>
      <c r="N1761" s="28">
        <v>40500</v>
      </c>
    </row>
    <row r="1762" spans="1:14" s="20" customFormat="1">
      <c r="A1762" s="242"/>
      <c r="B1762" s="231"/>
      <c r="C1762" s="237" t="s">
        <v>47</v>
      </c>
      <c r="D1762" s="27">
        <v>22020205</v>
      </c>
      <c r="E1762" s="237" t="s">
        <v>850</v>
      </c>
      <c r="F1762" s="136">
        <v>120000</v>
      </c>
      <c r="G1762" s="28">
        <v>120000</v>
      </c>
      <c r="H1762" s="28"/>
      <c r="I1762" s="28"/>
      <c r="J1762" s="28">
        <v>120000</v>
      </c>
      <c r="K1762" s="488">
        <f t="shared" si="305"/>
        <v>5256</v>
      </c>
      <c r="L1762" s="469">
        <v>114744</v>
      </c>
      <c r="M1762" s="28">
        <v>120000</v>
      </c>
      <c r="N1762" s="28">
        <v>120000</v>
      </c>
    </row>
    <row r="1763" spans="1:14" s="20" customFormat="1">
      <c r="A1763" s="242"/>
      <c r="B1763" s="231"/>
      <c r="C1763" s="237" t="s">
        <v>47</v>
      </c>
      <c r="D1763" s="27">
        <v>22020301</v>
      </c>
      <c r="E1763" s="237" t="s">
        <v>737</v>
      </c>
      <c r="F1763" s="136">
        <v>133350</v>
      </c>
      <c r="G1763" s="28">
        <v>133350</v>
      </c>
      <c r="H1763" s="28"/>
      <c r="I1763" s="28"/>
      <c r="J1763" s="28">
        <v>133350</v>
      </c>
      <c r="K1763" s="488">
        <f t="shared" si="305"/>
        <v>5840.73</v>
      </c>
      <c r="L1763" s="469">
        <v>127509.27</v>
      </c>
      <c r="M1763" s="28">
        <v>133350</v>
      </c>
      <c r="N1763" s="28">
        <v>133350</v>
      </c>
    </row>
    <row r="1764" spans="1:14" s="20" customFormat="1">
      <c r="A1764" s="242"/>
      <c r="B1764" s="231"/>
      <c r="C1764" s="237" t="s">
        <v>47</v>
      </c>
      <c r="D1764" s="27">
        <v>22020302</v>
      </c>
      <c r="E1764" s="237" t="s">
        <v>872</v>
      </c>
      <c r="F1764" s="136">
        <v>45500</v>
      </c>
      <c r="G1764" s="28">
        <v>45500</v>
      </c>
      <c r="H1764" s="28"/>
      <c r="I1764" s="28"/>
      <c r="J1764" s="28">
        <v>45500</v>
      </c>
      <c r="K1764" s="488">
        <f t="shared" si="305"/>
        <v>1992.8999999999999</v>
      </c>
      <c r="L1764" s="469">
        <v>43507.100000000006</v>
      </c>
      <c r="M1764" s="28">
        <v>45500</v>
      </c>
      <c r="N1764" s="28">
        <v>45500</v>
      </c>
    </row>
    <row r="1765" spans="1:14" s="20" customFormat="1">
      <c r="A1765" s="242"/>
      <c r="B1765" s="231"/>
      <c r="C1765" s="237" t="s">
        <v>47</v>
      </c>
      <c r="D1765" s="27">
        <v>22020303</v>
      </c>
      <c r="E1765" s="237" t="s">
        <v>738</v>
      </c>
      <c r="F1765" s="136">
        <v>9000</v>
      </c>
      <c r="G1765" s="28">
        <v>9000</v>
      </c>
      <c r="H1765" s="28"/>
      <c r="I1765" s="28"/>
      <c r="J1765" s="28">
        <v>9000</v>
      </c>
      <c r="K1765" s="488">
        <f t="shared" si="305"/>
        <v>394.2</v>
      </c>
      <c r="L1765" s="469">
        <v>8605.8000000000011</v>
      </c>
      <c r="M1765" s="28">
        <v>9000</v>
      </c>
      <c r="N1765" s="28">
        <v>9000</v>
      </c>
    </row>
    <row r="1766" spans="1:14" s="20" customFormat="1">
      <c r="A1766" s="242"/>
      <c r="B1766" s="231"/>
      <c r="C1766" s="237" t="s">
        <v>47</v>
      </c>
      <c r="D1766" s="27">
        <v>22020305</v>
      </c>
      <c r="E1766" s="237" t="s">
        <v>755</v>
      </c>
      <c r="F1766" s="136">
        <v>154950</v>
      </c>
      <c r="G1766" s="28">
        <v>154950</v>
      </c>
      <c r="H1766" s="28"/>
      <c r="I1766" s="28"/>
      <c r="J1766" s="28">
        <v>154950</v>
      </c>
      <c r="K1766" s="488">
        <f t="shared" si="305"/>
        <v>6786.8099999999995</v>
      </c>
      <c r="L1766" s="469">
        <v>148163.19</v>
      </c>
      <c r="M1766" s="28">
        <v>154950</v>
      </c>
      <c r="N1766" s="28">
        <v>154950</v>
      </c>
    </row>
    <row r="1767" spans="1:14" s="20" customFormat="1">
      <c r="A1767" s="242"/>
      <c r="B1767" s="231"/>
      <c r="C1767" s="237" t="s">
        <v>47</v>
      </c>
      <c r="D1767" s="27">
        <v>22020307</v>
      </c>
      <c r="E1767" s="237" t="s">
        <v>822</v>
      </c>
      <c r="F1767" s="136">
        <v>100000</v>
      </c>
      <c r="G1767" s="28">
        <v>100000</v>
      </c>
      <c r="H1767" s="28"/>
      <c r="I1767" s="28"/>
      <c r="J1767" s="28">
        <v>100000</v>
      </c>
      <c r="K1767" s="488">
        <f t="shared" si="305"/>
        <v>4380</v>
      </c>
      <c r="L1767" s="469">
        <v>95620</v>
      </c>
      <c r="M1767" s="28">
        <v>100000</v>
      </c>
      <c r="N1767" s="28">
        <v>100000</v>
      </c>
    </row>
    <row r="1768" spans="1:14" s="20" customFormat="1">
      <c r="A1768" s="242"/>
      <c r="B1768" s="231"/>
      <c r="C1768" s="237" t="s">
        <v>47</v>
      </c>
      <c r="D1768" s="27">
        <v>22020310</v>
      </c>
      <c r="E1768" s="237" t="s">
        <v>819</v>
      </c>
      <c r="F1768" s="136">
        <v>523000</v>
      </c>
      <c r="G1768" s="28">
        <v>523000</v>
      </c>
      <c r="H1768" s="28"/>
      <c r="I1768" s="28"/>
      <c r="J1768" s="28">
        <v>523000</v>
      </c>
      <c r="K1768" s="488">
        <f t="shared" si="305"/>
        <v>22907.399999999998</v>
      </c>
      <c r="L1768" s="469">
        <v>500092.60000000003</v>
      </c>
      <c r="M1768" s="28">
        <v>523000</v>
      </c>
      <c r="N1768" s="28">
        <v>523000</v>
      </c>
    </row>
    <row r="1769" spans="1:14" s="20" customFormat="1">
      <c r="A1769" s="242"/>
      <c r="B1769" s="231"/>
      <c r="C1769" s="237" t="s">
        <v>47</v>
      </c>
      <c r="D1769" s="27">
        <v>22020402</v>
      </c>
      <c r="E1769" s="237" t="s">
        <v>757</v>
      </c>
      <c r="F1769" s="136">
        <v>217000</v>
      </c>
      <c r="G1769" s="28">
        <v>217000</v>
      </c>
      <c r="H1769" s="28"/>
      <c r="I1769" s="28"/>
      <c r="J1769" s="28">
        <v>217000</v>
      </c>
      <c r="K1769" s="488">
        <f t="shared" si="305"/>
        <v>9504.6</v>
      </c>
      <c r="L1769" s="469">
        <v>207495.40000000002</v>
      </c>
      <c r="M1769" s="28">
        <v>217000</v>
      </c>
      <c r="N1769" s="28">
        <v>217000</v>
      </c>
    </row>
    <row r="1770" spans="1:14" s="20" customFormat="1">
      <c r="A1770" s="242"/>
      <c r="B1770" s="231"/>
      <c r="C1770" s="237" t="s">
        <v>47</v>
      </c>
      <c r="D1770" s="27">
        <v>22020405</v>
      </c>
      <c r="E1770" s="237" t="s">
        <v>743</v>
      </c>
      <c r="F1770" s="136">
        <v>85500</v>
      </c>
      <c r="G1770" s="28">
        <v>85500</v>
      </c>
      <c r="H1770" s="28"/>
      <c r="I1770" s="28"/>
      <c r="J1770" s="28">
        <v>85500</v>
      </c>
      <c r="K1770" s="488">
        <f t="shared" si="305"/>
        <v>3744.9</v>
      </c>
      <c r="L1770" s="469">
        <v>81755.100000000006</v>
      </c>
      <c r="M1770" s="28">
        <v>85500</v>
      </c>
      <c r="N1770" s="28">
        <v>85500</v>
      </c>
    </row>
    <row r="1771" spans="1:14" s="20" customFormat="1">
      <c r="A1771" s="242"/>
      <c r="B1771" s="231"/>
      <c r="C1771" s="237" t="s">
        <v>47</v>
      </c>
      <c r="D1771" s="27">
        <v>22020406</v>
      </c>
      <c r="E1771" s="237" t="s">
        <v>758</v>
      </c>
      <c r="F1771" s="136">
        <v>59000</v>
      </c>
      <c r="G1771" s="28">
        <v>59000</v>
      </c>
      <c r="H1771" s="28"/>
      <c r="I1771" s="28"/>
      <c r="J1771" s="28">
        <v>59000</v>
      </c>
      <c r="K1771" s="488">
        <f t="shared" si="305"/>
        <v>2584.1999999999998</v>
      </c>
      <c r="L1771" s="469">
        <v>56415.8</v>
      </c>
      <c r="M1771" s="28">
        <v>59000</v>
      </c>
      <c r="N1771" s="28">
        <v>59000</v>
      </c>
    </row>
    <row r="1772" spans="1:14" s="20" customFormat="1">
      <c r="A1772" s="242"/>
      <c r="B1772" s="231"/>
      <c r="C1772" s="237" t="s">
        <v>47</v>
      </c>
      <c r="D1772" s="27">
        <v>22020417</v>
      </c>
      <c r="E1772" s="237" t="s">
        <v>997</v>
      </c>
      <c r="F1772" s="136">
        <v>60000</v>
      </c>
      <c r="G1772" s="28">
        <v>60000</v>
      </c>
      <c r="H1772" s="28"/>
      <c r="I1772" s="28"/>
      <c r="J1772" s="28">
        <v>60000</v>
      </c>
      <c r="K1772" s="488">
        <f t="shared" si="305"/>
        <v>2628</v>
      </c>
      <c r="L1772" s="469">
        <v>57372</v>
      </c>
      <c r="M1772" s="28">
        <v>60000</v>
      </c>
      <c r="N1772" s="28">
        <v>60000</v>
      </c>
    </row>
    <row r="1773" spans="1:14" s="20" customFormat="1">
      <c r="A1773" s="242"/>
      <c r="B1773" s="231"/>
      <c r="C1773" s="237" t="s">
        <v>47</v>
      </c>
      <c r="D1773" s="27">
        <v>22020601</v>
      </c>
      <c r="E1773" s="237" t="s">
        <v>766</v>
      </c>
      <c r="F1773" s="136">
        <v>840000</v>
      </c>
      <c r="G1773" s="28">
        <v>500000</v>
      </c>
      <c r="H1773" s="28"/>
      <c r="I1773" s="28"/>
      <c r="J1773" s="28">
        <v>500000</v>
      </c>
      <c r="K1773" s="488">
        <f t="shared" si="305"/>
        <v>21900</v>
      </c>
      <c r="L1773" s="469">
        <v>478100</v>
      </c>
      <c r="M1773" s="28">
        <v>840000</v>
      </c>
      <c r="N1773" s="28">
        <v>840000</v>
      </c>
    </row>
    <row r="1774" spans="1:14" s="20" customFormat="1">
      <c r="A1774" s="242"/>
      <c r="B1774" s="231"/>
      <c r="C1774" s="237" t="s">
        <v>47</v>
      </c>
      <c r="D1774" s="27">
        <v>22020605</v>
      </c>
      <c r="E1774" s="237" t="s">
        <v>768</v>
      </c>
      <c r="F1774" s="136">
        <v>180300</v>
      </c>
      <c r="G1774" s="28">
        <v>180300</v>
      </c>
      <c r="H1774" s="28"/>
      <c r="I1774" s="28"/>
      <c r="J1774" s="28">
        <v>180300</v>
      </c>
      <c r="K1774" s="488">
        <f t="shared" si="305"/>
        <v>7897.1399999999994</v>
      </c>
      <c r="L1774" s="469">
        <v>172402.86000000002</v>
      </c>
      <c r="M1774" s="28">
        <v>180300</v>
      </c>
      <c r="N1774" s="28">
        <v>180300</v>
      </c>
    </row>
    <row r="1775" spans="1:14" s="20" customFormat="1">
      <c r="A1775" s="242"/>
      <c r="B1775" s="231"/>
      <c r="C1775" s="237" t="s">
        <v>47</v>
      </c>
      <c r="D1775" s="27">
        <v>22020709</v>
      </c>
      <c r="E1775" s="237" t="s">
        <v>771</v>
      </c>
      <c r="F1775" s="136">
        <v>300000</v>
      </c>
      <c r="G1775" s="28">
        <v>300000</v>
      </c>
      <c r="H1775" s="28"/>
      <c r="I1775" s="28"/>
      <c r="J1775" s="28">
        <v>300000</v>
      </c>
      <c r="K1775" s="488">
        <f t="shared" si="305"/>
        <v>13140</v>
      </c>
      <c r="L1775" s="469">
        <v>286860</v>
      </c>
      <c r="M1775" s="28">
        <v>300000</v>
      </c>
      <c r="N1775" s="28">
        <v>300000</v>
      </c>
    </row>
    <row r="1776" spans="1:14" s="20" customFormat="1">
      <c r="A1776" s="242"/>
      <c r="B1776" s="231"/>
      <c r="C1776" s="237" t="s">
        <v>47</v>
      </c>
      <c r="D1776" s="27">
        <v>22020801</v>
      </c>
      <c r="E1776" s="237" t="s">
        <v>747</v>
      </c>
      <c r="F1776" s="136">
        <v>89500</v>
      </c>
      <c r="G1776" s="28">
        <v>89500</v>
      </c>
      <c r="H1776" s="28"/>
      <c r="I1776" s="28"/>
      <c r="J1776" s="28">
        <v>89500</v>
      </c>
      <c r="K1776" s="488">
        <f t="shared" si="305"/>
        <v>3920.1</v>
      </c>
      <c r="L1776" s="469">
        <v>85579.900000000009</v>
      </c>
      <c r="M1776" s="28">
        <v>89500</v>
      </c>
      <c r="N1776" s="28">
        <v>89500</v>
      </c>
    </row>
    <row r="1777" spans="1:14" s="20" customFormat="1">
      <c r="A1777" s="242"/>
      <c r="B1777" s="231"/>
      <c r="C1777" s="237" t="s">
        <v>47</v>
      </c>
      <c r="D1777" s="27">
        <v>22020803</v>
      </c>
      <c r="E1777" s="237" t="s">
        <v>748</v>
      </c>
      <c r="F1777" s="136">
        <v>138750</v>
      </c>
      <c r="G1777" s="28">
        <v>138750</v>
      </c>
      <c r="H1777" s="28"/>
      <c r="I1777" s="28"/>
      <c r="J1777" s="28">
        <v>138750</v>
      </c>
      <c r="K1777" s="488">
        <f t="shared" si="305"/>
        <v>6077.25</v>
      </c>
      <c r="L1777" s="469">
        <v>132672.75</v>
      </c>
      <c r="M1777" s="28">
        <v>138750</v>
      </c>
      <c r="N1777" s="28">
        <v>138750</v>
      </c>
    </row>
    <row r="1778" spans="1:14" s="20" customFormat="1">
      <c r="A1778" s="242"/>
      <c r="B1778" s="231"/>
      <c r="C1778" s="237" t="s">
        <v>47</v>
      </c>
      <c r="D1778" s="27">
        <v>22020901</v>
      </c>
      <c r="E1778" s="237" t="s">
        <v>749</v>
      </c>
      <c r="F1778" s="136">
        <v>9220</v>
      </c>
      <c r="G1778" s="28">
        <v>9220</v>
      </c>
      <c r="H1778" s="28"/>
      <c r="I1778" s="28"/>
      <c r="J1778" s="28">
        <v>9220</v>
      </c>
      <c r="K1778" s="488">
        <f t="shared" si="305"/>
        <v>403.83600000000001</v>
      </c>
      <c r="L1778" s="469">
        <v>8816.1640000000007</v>
      </c>
      <c r="M1778" s="28">
        <v>9220</v>
      </c>
      <c r="N1778" s="28">
        <v>9220</v>
      </c>
    </row>
    <row r="1779" spans="1:14" s="20" customFormat="1">
      <c r="A1779" s="242"/>
      <c r="B1779" s="231"/>
      <c r="C1779" s="237" t="s">
        <v>47</v>
      </c>
      <c r="D1779" s="27">
        <v>22021001</v>
      </c>
      <c r="E1779" s="237" t="s">
        <v>772</v>
      </c>
      <c r="F1779" s="136">
        <v>1258400</v>
      </c>
      <c r="G1779" s="28">
        <v>258400</v>
      </c>
      <c r="H1779" s="28"/>
      <c r="I1779" s="28"/>
      <c r="J1779" s="28">
        <v>258400</v>
      </c>
      <c r="K1779" s="488">
        <f t="shared" si="305"/>
        <v>11317.92</v>
      </c>
      <c r="L1779" s="469">
        <v>247082.08000000002</v>
      </c>
      <c r="M1779" s="28">
        <v>1258400</v>
      </c>
      <c r="N1779" s="28">
        <v>1258400</v>
      </c>
    </row>
    <row r="1780" spans="1:14" s="20" customFormat="1">
      <c r="A1780" s="242"/>
      <c r="B1780" s="231"/>
      <c r="C1780" s="237" t="s">
        <v>47</v>
      </c>
      <c r="D1780" s="27">
        <v>22021007</v>
      </c>
      <c r="E1780" s="237" t="s">
        <v>856</v>
      </c>
      <c r="F1780" s="136">
        <v>65000</v>
      </c>
      <c r="G1780" s="28">
        <v>65000</v>
      </c>
      <c r="H1780" s="28"/>
      <c r="I1780" s="28"/>
      <c r="J1780" s="28">
        <v>65000</v>
      </c>
      <c r="K1780" s="488">
        <f t="shared" si="305"/>
        <v>2847</v>
      </c>
      <c r="L1780" s="469">
        <v>62153</v>
      </c>
      <c r="M1780" s="28">
        <v>65000</v>
      </c>
      <c r="N1780" s="28">
        <v>65000</v>
      </c>
    </row>
    <row r="1781" spans="1:14" s="20" customFormat="1">
      <c r="A1781" s="242"/>
      <c r="B1781" s="231"/>
      <c r="C1781" s="237" t="s">
        <v>47</v>
      </c>
      <c r="D1781" s="27">
        <v>22021009</v>
      </c>
      <c r="E1781" s="237" t="s">
        <v>873</v>
      </c>
      <c r="F1781" s="136">
        <v>120500</v>
      </c>
      <c r="G1781" s="28">
        <v>300000</v>
      </c>
      <c r="H1781" s="28"/>
      <c r="I1781" s="28"/>
      <c r="J1781" s="28">
        <v>300000</v>
      </c>
      <c r="K1781" s="488">
        <f t="shared" si="305"/>
        <v>13140</v>
      </c>
      <c r="L1781" s="469">
        <v>286860</v>
      </c>
      <c r="M1781" s="28">
        <v>120500</v>
      </c>
      <c r="N1781" s="28">
        <v>120500</v>
      </c>
    </row>
    <row r="1782" spans="1:14" s="20" customFormat="1">
      <c r="A1782" s="238"/>
      <c r="B1782" s="231"/>
      <c r="C1782" s="30" t="s">
        <v>1837</v>
      </c>
      <c r="D1782" s="23"/>
      <c r="E1782" s="25"/>
      <c r="F1782" s="137">
        <f>SUM(F1757:F1781)</f>
        <v>4989470</v>
      </c>
      <c r="G1782" s="114">
        <f>SUM(G1757:G1781)</f>
        <v>3828970</v>
      </c>
      <c r="H1782" s="114">
        <f t="shared" ref="H1782:I1782" si="306">SUM(H1757:H1781)</f>
        <v>0</v>
      </c>
      <c r="I1782" s="114">
        <f t="shared" si="306"/>
        <v>0</v>
      </c>
      <c r="J1782" s="114">
        <f>SUM(J1757:J1781)</f>
        <v>3828970</v>
      </c>
      <c r="K1782" s="490">
        <f>SUM(K1757:K1781)</f>
        <v>167708.886</v>
      </c>
      <c r="L1782" s="468">
        <f>SUM(L1757:L1781)</f>
        <v>3661261.1140000001</v>
      </c>
      <c r="M1782" s="114">
        <f>SUM(M1757:M1781)</f>
        <v>4989470</v>
      </c>
      <c r="N1782" s="114">
        <f>SUM(N1757:N1781)</f>
        <v>4989470</v>
      </c>
    </row>
    <row r="1783" spans="1:14" s="66" customFormat="1" ht="30">
      <c r="A1783" s="238" t="s">
        <v>1031</v>
      </c>
      <c r="B1783" s="231" t="s">
        <v>1810</v>
      </c>
      <c r="C1783" s="30"/>
      <c r="D1783" s="23"/>
      <c r="E1783" s="25"/>
      <c r="F1783" s="137">
        <f>F1782+F1756</f>
        <v>77459702.032999963</v>
      </c>
      <c r="G1783" s="114">
        <f>G1782+G1756</f>
        <v>76299202.032999963</v>
      </c>
      <c r="H1783" s="114">
        <f t="shared" ref="H1783:I1783" si="307">H1782+H1756</f>
        <v>0</v>
      </c>
      <c r="I1783" s="114">
        <f t="shared" si="307"/>
        <v>0</v>
      </c>
      <c r="J1783" s="114">
        <f>J1782+J1756</f>
        <v>76299202.032999963</v>
      </c>
      <c r="K1783" s="490"/>
      <c r="L1783" s="468">
        <f>L1782+L1756</f>
        <v>76131493.146999955</v>
      </c>
      <c r="M1783" s="114">
        <f>M1782+M1756</f>
        <v>84706725.236299962</v>
      </c>
      <c r="N1783" s="114">
        <f>N1782+N1756</f>
        <v>92678450.759929955</v>
      </c>
    </row>
    <row r="1784" spans="1:14" s="20" customFormat="1" ht="21">
      <c r="A1784" s="252"/>
      <c r="B1784" s="443"/>
      <c r="C1784" s="228"/>
      <c r="D1784" s="229"/>
      <c r="E1784" s="230"/>
      <c r="F1784" s="215"/>
      <c r="G1784" s="296"/>
      <c r="H1784" s="296"/>
      <c r="I1784" s="296"/>
      <c r="J1784" s="28"/>
      <c r="K1784" s="488"/>
      <c r="L1784" s="468"/>
      <c r="M1784" s="296"/>
      <c r="N1784" s="296"/>
    </row>
    <row r="1785" spans="1:14" s="20" customFormat="1">
      <c r="A1785" s="238" t="s">
        <v>1032</v>
      </c>
      <c r="B1785" s="231" t="s">
        <v>143</v>
      </c>
      <c r="C1785" s="237" t="s">
        <v>46</v>
      </c>
      <c r="D1785" s="27">
        <v>21010101</v>
      </c>
      <c r="E1785" s="237" t="s">
        <v>725</v>
      </c>
      <c r="F1785" s="136">
        <v>79247106.370000005</v>
      </c>
      <c r="G1785" s="28">
        <v>79247106.370000005</v>
      </c>
      <c r="H1785" s="28"/>
      <c r="I1785" s="28"/>
      <c r="J1785" s="28">
        <v>79247106.370000005</v>
      </c>
      <c r="K1785" s="488"/>
      <c r="L1785" s="467">
        <v>79247106.370000005</v>
      </c>
      <c r="M1785" s="28">
        <f>G1785*10%+G1785</f>
        <v>87171817.006999999</v>
      </c>
      <c r="N1785" s="28">
        <f>M1785*10%+M1785</f>
        <v>95888998.707699999</v>
      </c>
    </row>
    <row r="1786" spans="1:14" s="20" customFormat="1">
      <c r="A1786" s="238"/>
      <c r="B1786" s="231"/>
      <c r="C1786" s="30" t="s">
        <v>1842</v>
      </c>
      <c r="D1786" s="23"/>
      <c r="E1786" s="25"/>
      <c r="F1786" s="137">
        <f>SUM(F1785)</f>
        <v>79247106.370000005</v>
      </c>
      <c r="G1786" s="114">
        <f>SUM(G1785)</f>
        <v>79247106.370000005</v>
      </c>
      <c r="H1786" s="114">
        <f t="shared" ref="H1786:I1786" si="308">SUM(H1785)</f>
        <v>0</v>
      </c>
      <c r="I1786" s="114">
        <f t="shared" si="308"/>
        <v>0</v>
      </c>
      <c r="J1786" s="114">
        <f>SUM(J1785)</f>
        <v>79247106.370000005</v>
      </c>
      <c r="K1786" s="490"/>
      <c r="L1786" s="468">
        <f>SUM(L1785)</f>
        <v>79247106.370000005</v>
      </c>
      <c r="M1786" s="114">
        <f>SUM(M1785)</f>
        <v>87171817.006999999</v>
      </c>
      <c r="N1786" s="114">
        <f>SUM(N1785)</f>
        <v>95888998.707699999</v>
      </c>
    </row>
    <row r="1787" spans="1:14" s="20" customFormat="1">
      <c r="A1787" s="242"/>
      <c r="B1787" s="231"/>
      <c r="C1787" s="237" t="s">
        <v>47</v>
      </c>
      <c r="D1787" s="27">
        <v>22020105</v>
      </c>
      <c r="E1787" s="237" t="s">
        <v>1733</v>
      </c>
      <c r="F1787" s="136">
        <v>750000</v>
      </c>
      <c r="G1787" s="28">
        <v>500000</v>
      </c>
      <c r="H1787" s="28"/>
      <c r="I1787" s="28"/>
      <c r="J1787" s="28">
        <v>500000</v>
      </c>
      <c r="K1787" s="488">
        <f>J1787*4.38%</f>
        <v>21900</v>
      </c>
      <c r="L1787" s="469">
        <v>478100</v>
      </c>
      <c r="M1787" s="28">
        <v>750000</v>
      </c>
      <c r="N1787" s="28">
        <v>750000</v>
      </c>
    </row>
    <row r="1788" spans="1:14" s="20" customFormat="1">
      <c r="A1788" s="242"/>
      <c r="B1788" s="231"/>
      <c r="C1788" s="237" t="s">
        <v>47</v>
      </c>
      <c r="D1788" s="27">
        <v>22020114</v>
      </c>
      <c r="E1788" s="237" t="s">
        <v>830</v>
      </c>
      <c r="F1788" s="136">
        <v>50600</v>
      </c>
      <c r="G1788" s="28">
        <v>50600</v>
      </c>
      <c r="H1788" s="28"/>
      <c r="I1788" s="28"/>
      <c r="J1788" s="28">
        <v>50600</v>
      </c>
      <c r="K1788" s="488">
        <f t="shared" ref="K1788:K1802" si="309">J1788*4.38%</f>
        <v>2216.2799999999997</v>
      </c>
      <c r="L1788" s="469">
        <v>48383.72</v>
      </c>
      <c r="M1788" s="28">
        <v>50600</v>
      </c>
      <c r="N1788" s="28">
        <v>50600</v>
      </c>
    </row>
    <row r="1789" spans="1:14" s="20" customFormat="1">
      <c r="A1789" s="242"/>
      <c r="B1789" s="231"/>
      <c r="C1789" s="237" t="s">
        <v>47</v>
      </c>
      <c r="D1789" s="27">
        <v>22020201</v>
      </c>
      <c r="E1789" s="237" t="s">
        <v>849</v>
      </c>
      <c r="F1789" s="136">
        <v>432000</v>
      </c>
      <c r="G1789" s="28">
        <v>300000</v>
      </c>
      <c r="H1789" s="28"/>
      <c r="I1789" s="28"/>
      <c r="J1789" s="28">
        <v>300000</v>
      </c>
      <c r="K1789" s="488">
        <f t="shared" si="309"/>
        <v>13140</v>
      </c>
      <c r="L1789" s="469">
        <v>286860</v>
      </c>
      <c r="M1789" s="28">
        <v>432000</v>
      </c>
      <c r="N1789" s="28">
        <v>432000</v>
      </c>
    </row>
    <row r="1790" spans="1:14" s="20" customFormat="1">
      <c r="A1790" s="242"/>
      <c r="B1790" s="231"/>
      <c r="C1790" s="237" t="s">
        <v>47</v>
      </c>
      <c r="D1790" s="27">
        <v>22020301</v>
      </c>
      <c r="E1790" s="237" t="s">
        <v>737</v>
      </c>
      <c r="F1790" s="136">
        <v>504800</v>
      </c>
      <c r="G1790" s="28">
        <v>504800</v>
      </c>
      <c r="H1790" s="28"/>
      <c r="I1790" s="28"/>
      <c r="J1790" s="28">
        <v>504800</v>
      </c>
      <c r="K1790" s="488">
        <f t="shared" si="309"/>
        <v>22110.239999999998</v>
      </c>
      <c r="L1790" s="469">
        <v>482689.76</v>
      </c>
      <c r="M1790" s="28">
        <v>504800</v>
      </c>
      <c r="N1790" s="28">
        <v>504800</v>
      </c>
    </row>
    <row r="1791" spans="1:14" s="20" customFormat="1">
      <c r="A1791" s="242"/>
      <c r="B1791" s="231"/>
      <c r="C1791" s="237" t="s">
        <v>47</v>
      </c>
      <c r="D1791" s="27">
        <v>22020302</v>
      </c>
      <c r="E1791" s="237" t="s">
        <v>872</v>
      </c>
      <c r="F1791" s="136">
        <v>60000</v>
      </c>
      <c r="G1791" s="28">
        <v>60000</v>
      </c>
      <c r="H1791" s="28"/>
      <c r="I1791" s="28"/>
      <c r="J1791" s="28">
        <v>60000</v>
      </c>
      <c r="K1791" s="488">
        <f t="shared" si="309"/>
        <v>2628</v>
      </c>
      <c r="L1791" s="469">
        <v>57372</v>
      </c>
      <c r="M1791" s="28">
        <v>60000</v>
      </c>
      <c r="N1791" s="28">
        <v>60000</v>
      </c>
    </row>
    <row r="1792" spans="1:14" s="20" customFormat="1">
      <c r="A1792" s="242"/>
      <c r="B1792" s="231"/>
      <c r="C1792" s="237" t="s">
        <v>47</v>
      </c>
      <c r="D1792" s="27">
        <v>22020305</v>
      </c>
      <c r="E1792" s="237" t="s">
        <v>755</v>
      </c>
      <c r="F1792" s="136">
        <v>350000</v>
      </c>
      <c r="G1792" s="28">
        <v>350000</v>
      </c>
      <c r="H1792" s="28"/>
      <c r="I1792" s="28"/>
      <c r="J1792" s="28">
        <v>350000</v>
      </c>
      <c r="K1792" s="488">
        <f t="shared" si="309"/>
        <v>15330</v>
      </c>
      <c r="L1792" s="469">
        <v>334670</v>
      </c>
      <c r="M1792" s="28">
        <v>350000</v>
      </c>
      <c r="N1792" s="28">
        <v>350000</v>
      </c>
    </row>
    <row r="1793" spans="1:14" s="20" customFormat="1">
      <c r="A1793" s="242"/>
      <c r="B1793" s="231"/>
      <c r="C1793" s="237" t="s">
        <v>47</v>
      </c>
      <c r="D1793" s="27">
        <v>22020307</v>
      </c>
      <c r="E1793" s="237" t="s">
        <v>822</v>
      </c>
      <c r="F1793" s="136">
        <v>225000</v>
      </c>
      <c r="G1793" s="28">
        <v>225000</v>
      </c>
      <c r="H1793" s="28"/>
      <c r="I1793" s="28"/>
      <c r="J1793" s="28">
        <v>225000</v>
      </c>
      <c r="K1793" s="488">
        <f t="shared" si="309"/>
        <v>9855</v>
      </c>
      <c r="L1793" s="469">
        <v>215145</v>
      </c>
      <c r="M1793" s="28">
        <v>225000</v>
      </c>
      <c r="N1793" s="28">
        <v>225000</v>
      </c>
    </row>
    <row r="1794" spans="1:14" s="20" customFormat="1">
      <c r="A1794" s="242"/>
      <c r="B1794" s="231"/>
      <c r="C1794" s="237" t="s">
        <v>47</v>
      </c>
      <c r="D1794" s="27">
        <v>22020310</v>
      </c>
      <c r="E1794" s="237" t="s">
        <v>819</v>
      </c>
      <c r="F1794" s="136">
        <v>234000</v>
      </c>
      <c r="G1794" s="28">
        <v>234000</v>
      </c>
      <c r="H1794" s="28"/>
      <c r="I1794" s="28"/>
      <c r="J1794" s="28">
        <v>234000</v>
      </c>
      <c r="K1794" s="488">
        <f t="shared" si="309"/>
        <v>10249.199999999999</v>
      </c>
      <c r="L1794" s="469">
        <v>223750.80000000002</v>
      </c>
      <c r="M1794" s="28">
        <v>234000</v>
      </c>
      <c r="N1794" s="28">
        <v>234000</v>
      </c>
    </row>
    <row r="1795" spans="1:14" s="20" customFormat="1">
      <c r="A1795" s="242"/>
      <c r="B1795" s="231"/>
      <c r="C1795" s="237" t="s">
        <v>47</v>
      </c>
      <c r="D1795" s="27">
        <v>22020401</v>
      </c>
      <c r="E1795" s="237" t="s">
        <v>741</v>
      </c>
      <c r="F1795" s="136">
        <v>323000</v>
      </c>
      <c r="G1795" s="28">
        <v>323000</v>
      </c>
      <c r="H1795" s="28"/>
      <c r="I1795" s="28"/>
      <c r="J1795" s="28">
        <v>323000</v>
      </c>
      <c r="K1795" s="488">
        <f t="shared" si="309"/>
        <v>14147.4</v>
      </c>
      <c r="L1795" s="469">
        <v>308852.60000000003</v>
      </c>
      <c r="M1795" s="28">
        <v>323000</v>
      </c>
      <c r="N1795" s="28">
        <v>323000</v>
      </c>
    </row>
    <row r="1796" spans="1:14" s="20" customFormat="1">
      <c r="A1796" s="242"/>
      <c r="B1796" s="231"/>
      <c r="C1796" s="237" t="s">
        <v>47</v>
      </c>
      <c r="D1796" s="27">
        <v>22020402</v>
      </c>
      <c r="E1796" s="237" t="s">
        <v>757</v>
      </c>
      <c r="F1796" s="136">
        <v>730000</v>
      </c>
      <c r="G1796" s="28">
        <v>500000</v>
      </c>
      <c r="H1796" s="28"/>
      <c r="I1796" s="28"/>
      <c r="J1796" s="28">
        <v>500000</v>
      </c>
      <c r="K1796" s="488">
        <f t="shared" si="309"/>
        <v>21900</v>
      </c>
      <c r="L1796" s="469">
        <v>478100</v>
      </c>
      <c r="M1796" s="28">
        <v>730000</v>
      </c>
      <c r="N1796" s="28">
        <v>730000</v>
      </c>
    </row>
    <row r="1797" spans="1:14" s="20" customFormat="1">
      <c r="A1797" s="242"/>
      <c r="B1797" s="231"/>
      <c r="C1797" s="237" t="s">
        <v>47</v>
      </c>
      <c r="D1797" s="27">
        <v>22020405</v>
      </c>
      <c r="E1797" s="237" t="s">
        <v>743</v>
      </c>
      <c r="F1797" s="136">
        <v>1015000</v>
      </c>
      <c r="G1797" s="28">
        <v>500000</v>
      </c>
      <c r="H1797" s="28"/>
      <c r="I1797" s="28"/>
      <c r="J1797" s="28">
        <v>500000</v>
      </c>
      <c r="K1797" s="488">
        <f t="shared" si="309"/>
        <v>21900</v>
      </c>
      <c r="L1797" s="469">
        <v>478100</v>
      </c>
      <c r="M1797" s="28">
        <v>1015000</v>
      </c>
      <c r="N1797" s="28">
        <v>1015000</v>
      </c>
    </row>
    <row r="1798" spans="1:14" s="20" customFormat="1">
      <c r="A1798" s="242"/>
      <c r="B1798" s="231"/>
      <c r="C1798" s="237" t="s">
        <v>47</v>
      </c>
      <c r="D1798" s="27">
        <v>22020601</v>
      </c>
      <c r="E1798" s="237" t="s">
        <v>766</v>
      </c>
      <c r="F1798" s="136">
        <v>384000</v>
      </c>
      <c r="G1798" s="28">
        <v>384000</v>
      </c>
      <c r="H1798" s="28"/>
      <c r="I1798" s="28"/>
      <c r="J1798" s="28">
        <v>384000</v>
      </c>
      <c r="K1798" s="488">
        <f t="shared" si="309"/>
        <v>16819.2</v>
      </c>
      <c r="L1798" s="469">
        <v>367180.80000000005</v>
      </c>
      <c r="M1798" s="28">
        <v>384000</v>
      </c>
      <c r="N1798" s="28">
        <v>384000</v>
      </c>
    </row>
    <row r="1799" spans="1:14" s="20" customFormat="1">
      <c r="A1799" s="242"/>
      <c r="B1799" s="231"/>
      <c r="C1799" s="237" t="s">
        <v>47</v>
      </c>
      <c r="D1799" s="27">
        <v>22020709</v>
      </c>
      <c r="E1799" s="237" t="s">
        <v>771</v>
      </c>
      <c r="F1799" s="136">
        <v>300000</v>
      </c>
      <c r="G1799" s="28">
        <v>300000</v>
      </c>
      <c r="H1799" s="28"/>
      <c r="I1799" s="28"/>
      <c r="J1799" s="28">
        <v>300000</v>
      </c>
      <c r="K1799" s="488">
        <f t="shared" si="309"/>
        <v>13140</v>
      </c>
      <c r="L1799" s="469">
        <v>286860</v>
      </c>
      <c r="M1799" s="28">
        <v>300000</v>
      </c>
      <c r="N1799" s="28">
        <v>300000</v>
      </c>
    </row>
    <row r="1800" spans="1:14" s="20" customFormat="1">
      <c r="A1800" s="242"/>
      <c r="B1800" s="231"/>
      <c r="C1800" s="237" t="s">
        <v>47</v>
      </c>
      <c r="D1800" s="27">
        <v>22020901</v>
      </c>
      <c r="E1800" s="237" t="s">
        <v>749</v>
      </c>
      <c r="F1800" s="136">
        <v>120000</v>
      </c>
      <c r="G1800" s="28">
        <v>5000</v>
      </c>
      <c r="H1800" s="28"/>
      <c r="I1800" s="28"/>
      <c r="J1800" s="28">
        <v>5000</v>
      </c>
      <c r="K1800" s="488">
        <f t="shared" si="309"/>
        <v>219</v>
      </c>
      <c r="L1800" s="469">
        <v>4781</v>
      </c>
      <c r="M1800" s="28">
        <v>120000</v>
      </c>
      <c r="N1800" s="28">
        <v>120000</v>
      </c>
    </row>
    <row r="1801" spans="1:14" s="20" customFormat="1">
      <c r="A1801" s="242"/>
      <c r="B1801" s="231"/>
      <c r="C1801" s="237" t="s">
        <v>47</v>
      </c>
      <c r="D1801" s="27">
        <v>22021009</v>
      </c>
      <c r="E1801" s="237" t="s">
        <v>873</v>
      </c>
      <c r="F1801" s="136">
        <v>467500</v>
      </c>
      <c r="G1801" s="28">
        <v>300000</v>
      </c>
      <c r="H1801" s="28"/>
      <c r="I1801" s="28"/>
      <c r="J1801" s="28">
        <v>300000</v>
      </c>
      <c r="K1801" s="488">
        <f t="shared" si="309"/>
        <v>13140</v>
      </c>
      <c r="L1801" s="469">
        <v>286860</v>
      </c>
      <c r="M1801" s="28">
        <v>467500</v>
      </c>
      <c r="N1801" s="28">
        <v>467500</v>
      </c>
    </row>
    <row r="1802" spans="1:14" s="20" customFormat="1">
      <c r="A1802" s="238"/>
      <c r="B1802" s="231"/>
      <c r="C1802" s="30" t="s">
        <v>1837</v>
      </c>
      <c r="D1802" s="23"/>
      <c r="E1802" s="25"/>
      <c r="F1802" s="137">
        <f>SUM(F1787:F1801)</f>
        <v>5945900</v>
      </c>
      <c r="G1802" s="114">
        <f>SUM(G1787:G1801)</f>
        <v>4536400</v>
      </c>
      <c r="H1802" s="114">
        <f t="shared" ref="H1802:M1802" si="310">SUM(H1787:H1801)</f>
        <v>0</v>
      </c>
      <c r="I1802" s="114">
        <f t="shared" si="310"/>
        <v>0</v>
      </c>
      <c r="J1802" s="114">
        <f>SUM(J1787:J1801)</f>
        <v>4536400</v>
      </c>
      <c r="K1802" s="490">
        <f t="shared" si="309"/>
        <v>198694.32</v>
      </c>
      <c r="L1802" s="468">
        <f>SUM(L1787:L1801)</f>
        <v>4337705.68</v>
      </c>
      <c r="M1802" s="114">
        <f t="shared" si="310"/>
        <v>5945900</v>
      </c>
      <c r="N1802" s="114">
        <f>SUM(N1787:N1801)</f>
        <v>5945900</v>
      </c>
    </row>
    <row r="1803" spans="1:14" s="66" customFormat="1">
      <c r="A1803" s="238" t="s">
        <v>1032</v>
      </c>
      <c r="B1803" s="231" t="s">
        <v>1811</v>
      </c>
      <c r="C1803" s="30"/>
      <c r="D1803" s="23"/>
      <c r="E1803" s="25"/>
      <c r="F1803" s="137">
        <f>F1802+F1786</f>
        <v>85193006.370000005</v>
      </c>
      <c r="G1803" s="114">
        <f>G1802+G1786</f>
        <v>83783506.370000005</v>
      </c>
      <c r="H1803" s="114">
        <f t="shared" ref="H1803:M1803" si="311">H1802+H1786</f>
        <v>0</v>
      </c>
      <c r="I1803" s="114">
        <f t="shared" si="311"/>
        <v>0</v>
      </c>
      <c r="J1803" s="114">
        <f>J1802+J1786</f>
        <v>83783506.370000005</v>
      </c>
      <c r="K1803" s="490"/>
      <c r="L1803" s="468">
        <f>L1802+L1786</f>
        <v>83584812.050000012</v>
      </c>
      <c r="M1803" s="114">
        <f t="shared" si="311"/>
        <v>93117717.006999999</v>
      </c>
      <c r="N1803" s="114">
        <f>N1802+N1786</f>
        <v>101834898.7077</v>
      </c>
    </row>
    <row r="1804" spans="1:14" s="20" customFormat="1" ht="21">
      <c r="A1804" s="252"/>
      <c r="B1804" s="443"/>
      <c r="C1804" s="228"/>
      <c r="D1804" s="229"/>
      <c r="E1804" s="230"/>
      <c r="F1804" s="215"/>
      <c r="G1804" s="296"/>
      <c r="H1804" s="296"/>
      <c r="I1804" s="296"/>
      <c r="J1804" s="28"/>
      <c r="K1804" s="488"/>
      <c r="L1804" s="468"/>
      <c r="M1804" s="296"/>
      <c r="N1804" s="296"/>
    </row>
    <row r="1805" spans="1:14" s="20" customFormat="1">
      <c r="A1805" s="238" t="s">
        <v>1033</v>
      </c>
      <c r="B1805" s="231" t="s">
        <v>142</v>
      </c>
      <c r="C1805" s="237" t="s">
        <v>46</v>
      </c>
      <c r="D1805" s="27">
        <v>21010101</v>
      </c>
      <c r="E1805" s="237" t="s">
        <v>725</v>
      </c>
      <c r="F1805" s="136">
        <v>52698239.759999998</v>
      </c>
      <c r="G1805" s="28">
        <v>52698239.759999998</v>
      </c>
      <c r="H1805" s="28"/>
      <c r="I1805" s="28"/>
      <c r="J1805" s="28">
        <v>52698239.759999998</v>
      </c>
      <c r="K1805" s="488"/>
      <c r="L1805" s="467">
        <v>52698239.759999998</v>
      </c>
      <c r="M1805" s="28">
        <f>G1805*10%+G1805</f>
        <v>57968063.736000001</v>
      </c>
      <c r="N1805" s="28">
        <f>M1805*10%+M1805</f>
        <v>63764870.1096</v>
      </c>
    </row>
    <row r="1806" spans="1:14" s="20" customFormat="1">
      <c r="A1806" s="238"/>
      <c r="B1806" s="231"/>
      <c r="C1806" s="30" t="s">
        <v>1836</v>
      </c>
      <c r="D1806" s="23"/>
      <c r="E1806" s="25"/>
      <c r="F1806" s="137">
        <f>SUM(F1805)</f>
        <v>52698239.759999998</v>
      </c>
      <c r="G1806" s="114">
        <f>SUM(G1805)</f>
        <v>52698239.759999998</v>
      </c>
      <c r="H1806" s="114">
        <f t="shared" ref="H1806:I1806" si="312">SUM(H1805)</f>
        <v>0</v>
      </c>
      <c r="I1806" s="114">
        <f t="shared" si="312"/>
        <v>0</v>
      </c>
      <c r="J1806" s="114">
        <f>SUM(J1805)</f>
        <v>52698239.759999998</v>
      </c>
      <c r="K1806" s="490"/>
      <c r="L1806" s="468">
        <f>SUM(L1805)</f>
        <v>52698239.759999998</v>
      </c>
      <c r="M1806" s="114">
        <f>SUM(M1805)</f>
        <v>57968063.736000001</v>
      </c>
      <c r="N1806" s="114">
        <f>SUM(N1805)</f>
        <v>63764870.1096</v>
      </c>
    </row>
    <row r="1807" spans="1:14" s="20" customFormat="1">
      <c r="A1807" s="242"/>
      <c r="B1807" s="231"/>
      <c r="C1807" s="237" t="s">
        <v>47</v>
      </c>
      <c r="D1807" s="27">
        <v>22020105</v>
      </c>
      <c r="E1807" s="237" t="s">
        <v>1733</v>
      </c>
      <c r="F1807" s="136">
        <v>85000</v>
      </c>
      <c r="G1807" s="28">
        <v>85000</v>
      </c>
      <c r="H1807" s="28"/>
      <c r="I1807" s="28"/>
      <c r="J1807" s="28">
        <v>85000</v>
      </c>
      <c r="K1807" s="488">
        <f>J1807*4.38%</f>
        <v>3723</v>
      </c>
      <c r="L1807" s="469">
        <v>81277</v>
      </c>
      <c r="M1807" s="28">
        <v>85000</v>
      </c>
      <c r="N1807" s="28">
        <v>85000</v>
      </c>
    </row>
    <row r="1808" spans="1:14" s="20" customFormat="1">
      <c r="A1808" s="242"/>
      <c r="B1808" s="231"/>
      <c r="C1808" s="237" t="s">
        <v>47</v>
      </c>
      <c r="D1808" s="27">
        <v>22020108</v>
      </c>
      <c r="E1808" s="237" t="s">
        <v>812</v>
      </c>
      <c r="F1808" s="136">
        <v>82200</v>
      </c>
      <c r="G1808" s="28">
        <v>82200</v>
      </c>
      <c r="H1808" s="28"/>
      <c r="I1808" s="28"/>
      <c r="J1808" s="28">
        <v>82200</v>
      </c>
      <c r="K1808" s="488">
        <f t="shared" ref="K1808:K1829" si="313">J1808*4.38%</f>
        <v>3600.3599999999997</v>
      </c>
      <c r="L1808" s="469">
        <v>78599.64</v>
      </c>
      <c r="M1808" s="28">
        <v>82200</v>
      </c>
      <c r="N1808" s="28">
        <v>82200</v>
      </c>
    </row>
    <row r="1809" spans="1:14" s="20" customFormat="1">
      <c r="A1809" s="242"/>
      <c r="B1809" s="231"/>
      <c r="C1809" s="237" t="s">
        <v>47</v>
      </c>
      <c r="D1809" s="27">
        <v>22020201</v>
      </c>
      <c r="E1809" s="237" t="s">
        <v>849</v>
      </c>
      <c r="F1809" s="136">
        <v>480000</v>
      </c>
      <c r="G1809" s="28">
        <v>480000</v>
      </c>
      <c r="H1809" s="28"/>
      <c r="I1809" s="28"/>
      <c r="J1809" s="28">
        <v>480000</v>
      </c>
      <c r="K1809" s="488">
        <f t="shared" si="313"/>
        <v>21024</v>
      </c>
      <c r="L1809" s="469">
        <v>458976</v>
      </c>
      <c r="M1809" s="28">
        <v>480000</v>
      </c>
      <c r="N1809" s="28">
        <v>480000</v>
      </c>
    </row>
    <row r="1810" spans="1:14" s="20" customFormat="1">
      <c r="A1810" s="242"/>
      <c r="B1810" s="231"/>
      <c r="C1810" s="237" t="s">
        <v>47</v>
      </c>
      <c r="D1810" s="27">
        <v>22020205</v>
      </c>
      <c r="E1810" s="237" t="s">
        <v>850</v>
      </c>
      <c r="F1810" s="136">
        <v>90000</v>
      </c>
      <c r="G1810" s="28">
        <v>90000</v>
      </c>
      <c r="H1810" s="28"/>
      <c r="I1810" s="28"/>
      <c r="J1810" s="28">
        <v>90000</v>
      </c>
      <c r="K1810" s="488">
        <f t="shared" si="313"/>
        <v>3942</v>
      </c>
      <c r="L1810" s="469">
        <v>86058</v>
      </c>
      <c r="M1810" s="28">
        <v>90000</v>
      </c>
      <c r="N1810" s="28">
        <v>90000</v>
      </c>
    </row>
    <row r="1811" spans="1:14" s="20" customFormat="1">
      <c r="A1811" s="242"/>
      <c r="B1811" s="231"/>
      <c r="C1811" s="237" t="s">
        <v>47</v>
      </c>
      <c r="D1811" s="27">
        <v>22020206</v>
      </c>
      <c r="E1811" s="237" t="s">
        <v>764</v>
      </c>
      <c r="F1811" s="136">
        <v>40000</v>
      </c>
      <c r="G1811" s="28">
        <v>40000</v>
      </c>
      <c r="H1811" s="28"/>
      <c r="I1811" s="28"/>
      <c r="J1811" s="28">
        <v>40000</v>
      </c>
      <c r="K1811" s="488">
        <f t="shared" si="313"/>
        <v>1752</v>
      </c>
      <c r="L1811" s="469">
        <v>38248</v>
      </c>
      <c r="M1811" s="28">
        <v>40000</v>
      </c>
      <c r="N1811" s="28">
        <v>40000</v>
      </c>
    </row>
    <row r="1812" spans="1:14" s="20" customFormat="1">
      <c r="A1812" s="242"/>
      <c r="B1812" s="231"/>
      <c r="C1812" s="237" t="s">
        <v>47</v>
      </c>
      <c r="D1812" s="27">
        <v>22020209</v>
      </c>
      <c r="E1812" s="237" t="s">
        <v>750</v>
      </c>
      <c r="F1812" s="136">
        <v>49400</v>
      </c>
      <c r="G1812" s="28">
        <v>49400</v>
      </c>
      <c r="H1812" s="28"/>
      <c r="I1812" s="28"/>
      <c r="J1812" s="28">
        <v>49400</v>
      </c>
      <c r="K1812" s="488">
        <f t="shared" si="313"/>
        <v>2163.7199999999998</v>
      </c>
      <c r="L1812" s="469">
        <v>47236.28</v>
      </c>
      <c r="M1812" s="28">
        <v>49400</v>
      </c>
      <c r="N1812" s="28">
        <v>49400</v>
      </c>
    </row>
    <row r="1813" spans="1:14" s="20" customFormat="1">
      <c r="A1813" s="242"/>
      <c r="B1813" s="231"/>
      <c r="C1813" s="237" t="s">
        <v>47</v>
      </c>
      <c r="D1813" s="27">
        <v>22020301</v>
      </c>
      <c r="E1813" s="237" t="s">
        <v>737</v>
      </c>
      <c r="F1813" s="136">
        <v>81600</v>
      </c>
      <c r="G1813" s="28">
        <v>81600</v>
      </c>
      <c r="H1813" s="28"/>
      <c r="I1813" s="28"/>
      <c r="J1813" s="28">
        <v>81600</v>
      </c>
      <c r="K1813" s="488">
        <f t="shared" si="313"/>
        <v>3574.08</v>
      </c>
      <c r="L1813" s="469">
        <v>78025.919999999998</v>
      </c>
      <c r="M1813" s="28">
        <v>81600</v>
      </c>
      <c r="N1813" s="28">
        <v>81600</v>
      </c>
    </row>
    <row r="1814" spans="1:14" s="20" customFormat="1">
      <c r="A1814" s="242"/>
      <c r="B1814" s="231"/>
      <c r="C1814" s="237" t="s">
        <v>47</v>
      </c>
      <c r="D1814" s="27">
        <v>22020302</v>
      </c>
      <c r="E1814" s="237" t="s">
        <v>872</v>
      </c>
      <c r="F1814" s="136">
        <v>21000</v>
      </c>
      <c r="G1814" s="28">
        <v>21000</v>
      </c>
      <c r="H1814" s="28"/>
      <c r="I1814" s="28"/>
      <c r="J1814" s="28">
        <v>21000</v>
      </c>
      <c r="K1814" s="488">
        <f t="shared" si="313"/>
        <v>919.8</v>
      </c>
      <c r="L1814" s="469">
        <v>20080.2</v>
      </c>
      <c r="M1814" s="28">
        <v>21000</v>
      </c>
      <c r="N1814" s="28">
        <v>21000</v>
      </c>
    </row>
    <row r="1815" spans="1:14" s="20" customFormat="1">
      <c r="A1815" s="242"/>
      <c r="B1815" s="231"/>
      <c r="C1815" s="237" t="s">
        <v>47</v>
      </c>
      <c r="D1815" s="27">
        <v>22020303</v>
      </c>
      <c r="E1815" s="237" t="s">
        <v>738</v>
      </c>
      <c r="F1815" s="136">
        <v>25200</v>
      </c>
      <c r="G1815" s="28">
        <v>25200</v>
      </c>
      <c r="H1815" s="28"/>
      <c r="I1815" s="28"/>
      <c r="J1815" s="28">
        <v>25200</v>
      </c>
      <c r="K1815" s="488">
        <f t="shared" si="313"/>
        <v>1103.76</v>
      </c>
      <c r="L1815" s="469">
        <v>24096.240000000002</v>
      </c>
      <c r="M1815" s="28">
        <v>25200</v>
      </c>
      <c r="N1815" s="28">
        <v>25200</v>
      </c>
    </row>
    <row r="1816" spans="1:14" s="20" customFormat="1">
      <c r="A1816" s="242"/>
      <c r="B1816" s="231"/>
      <c r="C1816" s="237" t="s">
        <v>47</v>
      </c>
      <c r="D1816" s="27">
        <v>22020307</v>
      </c>
      <c r="E1816" s="237" t="s">
        <v>822</v>
      </c>
      <c r="F1816" s="136">
        <v>273540</v>
      </c>
      <c r="G1816" s="28">
        <v>273540</v>
      </c>
      <c r="H1816" s="28"/>
      <c r="I1816" s="28"/>
      <c r="J1816" s="28">
        <v>273540</v>
      </c>
      <c r="K1816" s="488">
        <f t="shared" si="313"/>
        <v>11981.052</v>
      </c>
      <c r="L1816" s="469">
        <v>261558.948</v>
      </c>
      <c r="M1816" s="28">
        <v>273540</v>
      </c>
      <c r="N1816" s="28">
        <v>273540</v>
      </c>
    </row>
    <row r="1817" spans="1:14" s="20" customFormat="1">
      <c r="A1817" s="242"/>
      <c r="B1817" s="231"/>
      <c r="C1817" s="237" t="s">
        <v>47</v>
      </c>
      <c r="D1817" s="27">
        <v>22020310</v>
      </c>
      <c r="E1817" s="237" t="s">
        <v>819</v>
      </c>
      <c r="F1817" s="136">
        <v>133200</v>
      </c>
      <c r="G1817" s="28">
        <v>133200</v>
      </c>
      <c r="H1817" s="28"/>
      <c r="I1817" s="28"/>
      <c r="J1817" s="28">
        <v>133200</v>
      </c>
      <c r="K1817" s="488">
        <f t="shared" si="313"/>
        <v>5834.16</v>
      </c>
      <c r="L1817" s="469">
        <v>127365.84000000001</v>
      </c>
      <c r="M1817" s="28">
        <v>133200</v>
      </c>
      <c r="N1817" s="28">
        <v>133200</v>
      </c>
    </row>
    <row r="1818" spans="1:14" s="20" customFormat="1">
      <c r="A1818" s="242"/>
      <c r="B1818" s="231"/>
      <c r="C1818" s="237" t="s">
        <v>47</v>
      </c>
      <c r="D1818" s="27">
        <v>22020401</v>
      </c>
      <c r="E1818" s="237" t="s">
        <v>741</v>
      </c>
      <c r="F1818" s="136">
        <v>48000</v>
      </c>
      <c r="G1818" s="28">
        <v>48000</v>
      </c>
      <c r="H1818" s="28"/>
      <c r="I1818" s="28"/>
      <c r="J1818" s="28">
        <v>48000</v>
      </c>
      <c r="K1818" s="488">
        <f t="shared" si="313"/>
        <v>2102.4</v>
      </c>
      <c r="L1818" s="469">
        <v>45897.600000000006</v>
      </c>
      <c r="M1818" s="28">
        <v>48000</v>
      </c>
      <c r="N1818" s="28">
        <v>48000</v>
      </c>
    </row>
    <row r="1819" spans="1:14" s="20" customFormat="1">
      <c r="A1819" s="242"/>
      <c r="B1819" s="231"/>
      <c r="C1819" s="237" t="s">
        <v>47</v>
      </c>
      <c r="D1819" s="27">
        <v>22020402</v>
      </c>
      <c r="E1819" s="237" t="s">
        <v>757</v>
      </c>
      <c r="F1819" s="136">
        <v>49000</v>
      </c>
      <c r="G1819" s="28">
        <v>49000</v>
      </c>
      <c r="H1819" s="28"/>
      <c r="I1819" s="28"/>
      <c r="J1819" s="28">
        <v>49000</v>
      </c>
      <c r="K1819" s="488">
        <f t="shared" si="313"/>
        <v>2146.1999999999998</v>
      </c>
      <c r="L1819" s="469">
        <v>46853.8</v>
      </c>
      <c r="M1819" s="28">
        <v>49000</v>
      </c>
      <c r="N1819" s="28">
        <v>49000</v>
      </c>
    </row>
    <row r="1820" spans="1:14" s="20" customFormat="1">
      <c r="A1820" s="242"/>
      <c r="B1820" s="231"/>
      <c r="C1820" s="237" t="s">
        <v>47</v>
      </c>
      <c r="D1820" s="27">
        <v>22020403</v>
      </c>
      <c r="E1820" s="237" t="s">
        <v>781</v>
      </c>
      <c r="F1820" s="136">
        <v>150000</v>
      </c>
      <c r="G1820" s="28">
        <v>150000</v>
      </c>
      <c r="H1820" s="28"/>
      <c r="I1820" s="28"/>
      <c r="J1820" s="28">
        <v>150000</v>
      </c>
      <c r="K1820" s="488">
        <f t="shared" si="313"/>
        <v>6570</v>
      </c>
      <c r="L1820" s="469">
        <v>143430</v>
      </c>
      <c r="M1820" s="28">
        <v>150000</v>
      </c>
      <c r="N1820" s="28">
        <v>150000</v>
      </c>
    </row>
    <row r="1821" spans="1:14" s="20" customFormat="1">
      <c r="A1821" s="242"/>
      <c r="B1821" s="231"/>
      <c r="C1821" s="237" t="s">
        <v>47</v>
      </c>
      <c r="D1821" s="27">
        <v>22020404</v>
      </c>
      <c r="E1821" s="237" t="s">
        <v>742</v>
      </c>
      <c r="F1821" s="136">
        <v>36200</v>
      </c>
      <c r="G1821" s="28">
        <v>36200</v>
      </c>
      <c r="H1821" s="28"/>
      <c r="I1821" s="28"/>
      <c r="J1821" s="28">
        <v>36200</v>
      </c>
      <c r="K1821" s="488">
        <f t="shared" si="313"/>
        <v>1585.56</v>
      </c>
      <c r="L1821" s="469">
        <v>34614.44</v>
      </c>
      <c r="M1821" s="28">
        <v>36200</v>
      </c>
      <c r="N1821" s="28">
        <v>36200</v>
      </c>
    </row>
    <row r="1822" spans="1:14" s="20" customFormat="1">
      <c r="A1822" s="242"/>
      <c r="B1822" s="231"/>
      <c r="C1822" s="237" t="s">
        <v>47</v>
      </c>
      <c r="D1822" s="27">
        <v>22020405</v>
      </c>
      <c r="E1822" s="237" t="s">
        <v>743</v>
      </c>
      <c r="F1822" s="136">
        <v>86000</v>
      </c>
      <c r="G1822" s="28">
        <v>86000</v>
      </c>
      <c r="H1822" s="28"/>
      <c r="I1822" s="28"/>
      <c r="J1822" s="28">
        <v>86000</v>
      </c>
      <c r="K1822" s="488">
        <f t="shared" si="313"/>
        <v>3766.7999999999997</v>
      </c>
      <c r="L1822" s="469">
        <v>82233.2</v>
      </c>
      <c r="M1822" s="28">
        <v>86000</v>
      </c>
      <c r="N1822" s="28">
        <v>86000</v>
      </c>
    </row>
    <row r="1823" spans="1:14" s="20" customFormat="1">
      <c r="A1823" s="242"/>
      <c r="B1823" s="231"/>
      <c r="C1823" s="237" t="s">
        <v>47</v>
      </c>
      <c r="D1823" s="27">
        <v>22020605</v>
      </c>
      <c r="E1823" s="237" t="s">
        <v>768</v>
      </c>
      <c r="F1823" s="136">
        <v>182900</v>
      </c>
      <c r="G1823" s="28">
        <v>182900</v>
      </c>
      <c r="H1823" s="28"/>
      <c r="I1823" s="28"/>
      <c r="J1823" s="28">
        <v>182900</v>
      </c>
      <c r="K1823" s="488">
        <f t="shared" si="313"/>
        <v>8011.0199999999995</v>
      </c>
      <c r="L1823" s="469">
        <v>174888.98</v>
      </c>
      <c r="M1823" s="28">
        <v>182900</v>
      </c>
      <c r="N1823" s="28">
        <v>182900</v>
      </c>
    </row>
    <row r="1824" spans="1:14" s="20" customFormat="1">
      <c r="A1824" s="242"/>
      <c r="B1824" s="231"/>
      <c r="C1824" s="237" t="s">
        <v>47</v>
      </c>
      <c r="D1824" s="27">
        <v>22020709</v>
      </c>
      <c r="E1824" s="237" t="s">
        <v>771</v>
      </c>
      <c r="F1824" s="136">
        <v>350000</v>
      </c>
      <c r="G1824" s="28">
        <v>350000</v>
      </c>
      <c r="H1824" s="28"/>
      <c r="I1824" s="28"/>
      <c r="J1824" s="28">
        <v>350000</v>
      </c>
      <c r="K1824" s="488">
        <f t="shared" si="313"/>
        <v>15330</v>
      </c>
      <c r="L1824" s="469">
        <v>334670</v>
      </c>
      <c r="M1824" s="28">
        <v>350000</v>
      </c>
      <c r="N1824" s="28">
        <v>350000</v>
      </c>
    </row>
    <row r="1825" spans="1:14" s="20" customFormat="1">
      <c r="A1825" s="242"/>
      <c r="B1825" s="231"/>
      <c r="C1825" s="237" t="s">
        <v>47</v>
      </c>
      <c r="D1825" s="27">
        <v>22020801</v>
      </c>
      <c r="E1825" s="237" t="s">
        <v>747</v>
      </c>
      <c r="F1825" s="136">
        <v>195000</v>
      </c>
      <c r="G1825" s="28">
        <v>195000</v>
      </c>
      <c r="H1825" s="28"/>
      <c r="I1825" s="28"/>
      <c r="J1825" s="28">
        <v>195000</v>
      </c>
      <c r="K1825" s="488">
        <f t="shared" si="313"/>
        <v>8541</v>
      </c>
      <c r="L1825" s="469">
        <v>186459</v>
      </c>
      <c r="M1825" s="28">
        <v>195000</v>
      </c>
      <c r="N1825" s="28">
        <v>195000</v>
      </c>
    </row>
    <row r="1826" spans="1:14" s="20" customFormat="1">
      <c r="A1826" s="242"/>
      <c r="B1826" s="231"/>
      <c r="C1826" s="237" t="s">
        <v>47</v>
      </c>
      <c r="D1826" s="27">
        <v>22020803</v>
      </c>
      <c r="E1826" s="237" t="s">
        <v>748</v>
      </c>
      <c r="F1826" s="136">
        <v>30940</v>
      </c>
      <c r="G1826" s="28">
        <v>30940</v>
      </c>
      <c r="H1826" s="28"/>
      <c r="I1826" s="28"/>
      <c r="J1826" s="28">
        <v>30940</v>
      </c>
      <c r="K1826" s="488">
        <f t="shared" si="313"/>
        <v>1355.172</v>
      </c>
      <c r="L1826" s="469">
        <v>29584.828000000001</v>
      </c>
      <c r="M1826" s="28">
        <v>30940</v>
      </c>
      <c r="N1826" s="28">
        <v>30940</v>
      </c>
    </row>
    <row r="1827" spans="1:14" s="20" customFormat="1">
      <c r="A1827" s="242"/>
      <c r="B1827" s="231"/>
      <c r="C1827" s="237" t="s">
        <v>47</v>
      </c>
      <c r="D1827" s="27">
        <v>22020901</v>
      </c>
      <c r="E1827" s="237" t="s">
        <v>749</v>
      </c>
      <c r="F1827" s="136">
        <v>42000</v>
      </c>
      <c r="G1827" s="28">
        <v>42000</v>
      </c>
      <c r="H1827" s="28"/>
      <c r="I1827" s="28"/>
      <c r="J1827" s="28">
        <v>42000</v>
      </c>
      <c r="K1827" s="488">
        <f t="shared" si="313"/>
        <v>1839.6</v>
      </c>
      <c r="L1827" s="469">
        <v>40160.400000000001</v>
      </c>
      <c r="M1827" s="28">
        <v>42000</v>
      </c>
      <c r="N1827" s="28">
        <v>42000</v>
      </c>
    </row>
    <row r="1828" spans="1:14" s="20" customFormat="1">
      <c r="A1828" s="242"/>
      <c r="B1828" s="231"/>
      <c r="C1828" s="237" t="s">
        <v>47</v>
      </c>
      <c r="D1828" s="27">
        <v>22021009</v>
      </c>
      <c r="E1828" s="237" t="s">
        <v>873</v>
      </c>
      <c r="F1828" s="136">
        <v>52700</v>
      </c>
      <c r="G1828" s="28">
        <v>300000</v>
      </c>
      <c r="H1828" s="28"/>
      <c r="I1828" s="28"/>
      <c r="J1828" s="28">
        <v>300000</v>
      </c>
      <c r="K1828" s="488">
        <f t="shared" si="313"/>
        <v>13140</v>
      </c>
      <c r="L1828" s="469">
        <v>286860</v>
      </c>
      <c r="M1828" s="28">
        <v>52700</v>
      </c>
      <c r="N1828" s="28">
        <v>52700</v>
      </c>
    </row>
    <row r="1829" spans="1:14" s="20" customFormat="1">
      <c r="A1829" s="238"/>
      <c r="B1829" s="231"/>
      <c r="C1829" s="30" t="s">
        <v>1839</v>
      </c>
      <c r="D1829" s="23"/>
      <c r="E1829" s="25"/>
      <c r="F1829" s="137">
        <f>SUM(F1807:F1828)</f>
        <v>2583880</v>
      </c>
      <c r="G1829" s="114">
        <f>SUM(G1807:G1828)</f>
        <v>2831180</v>
      </c>
      <c r="H1829" s="114">
        <f t="shared" ref="H1829:I1829" si="314">SUM(H1807:H1828)</f>
        <v>0</v>
      </c>
      <c r="I1829" s="114">
        <f t="shared" si="314"/>
        <v>0</v>
      </c>
      <c r="J1829" s="114">
        <f>SUM(J1807:J1828)</f>
        <v>2831180</v>
      </c>
      <c r="K1829" s="490">
        <f t="shared" si="313"/>
        <v>124005.68399999999</v>
      </c>
      <c r="L1829" s="468">
        <f>SUM(L1807:L1828)</f>
        <v>2707174.3160000006</v>
      </c>
      <c r="M1829" s="114">
        <f>SUM(M1807:M1828)</f>
        <v>2583880</v>
      </c>
      <c r="N1829" s="114">
        <f>SUM(N1807:N1828)</f>
        <v>2583880</v>
      </c>
    </row>
    <row r="1830" spans="1:14" s="66" customFormat="1">
      <c r="A1830" s="238" t="s">
        <v>1033</v>
      </c>
      <c r="B1830" s="231" t="s">
        <v>1812</v>
      </c>
      <c r="C1830" s="30"/>
      <c r="D1830" s="23"/>
      <c r="E1830" s="25"/>
      <c r="F1830" s="137">
        <f>F1829+F1806</f>
        <v>55282119.759999998</v>
      </c>
      <c r="G1830" s="114">
        <f>G1829+G1806</f>
        <v>55529419.759999998</v>
      </c>
      <c r="H1830" s="114">
        <f t="shared" ref="H1830:I1830" si="315">H1829+H1806</f>
        <v>0</v>
      </c>
      <c r="I1830" s="114">
        <f t="shared" si="315"/>
        <v>0</v>
      </c>
      <c r="J1830" s="114">
        <f>J1829+J1806</f>
        <v>55529419.759999998</v>
      </c>
      <c r="K1830" s="490"/>
      <c r="L1830" s="468">
        <f>L1829+L1806</f>
        <v>55405414.075999998</v>
      </c>
      <c r="M1830" s="114">
        <f>M1829+M1806</f>
        <v>60551943.736000001</v>
      </c>
      <c r="N1830" s="114">
        <f>N1829+N1806</f>
        <v>66348750.1096</v>
      </c>
    </row>
    <row r="1831" spans="1:14" s="20" customFormat="1" ht="21">
      <c r="A1831" s="252"/>
      <c r="B1831" s="443"/>
      <c r="C1831" s="228"/>
      <c r="D1831" s="229"/>
      <c r="E1831" s="230"/>
      <c r="F1831" s="215"/>
      <c r="G1831" s="296"/>
      <c r="H1831" s="296"/>
      <c r="I1831" s="296"/>
      <c r="J1831" s="28"/>
      <c r="K1831" s="488"/>
      <c r="L1831" s="468"/>
      <c r="M1831" s="296"/>
      <c r="N1831" s="296"/>
    </row>
    <row r="1832" spans="1:14" s="20" customFormat="1" ht="30">
      <c r="A1832" s="238" t="s">
        <v>1035</v>
      </c>
      <c r="B1832" s="231" t="s">
        <v>1034</v>
      </c>
      <c r="C1832" s="237" t="s">
        <v>46</v>
      </c>
      <c r="D1832" s="27">
        <v>21010101</v>
      </c>
      <c r="E1832" s="237" t="s">
        <v>725</v>
      </c>
      <c r="F1832" s="136">
        <v>88094006.165999979</v>
      </c>
      <c r="G1832" s="28">
        <v>88094006.165999979</v>
      </c>
      <c r="H1832" s="28"/>
      <c r="I1832" s="28"/>
      <c r="J1832" s="28">
        <v>88094006.165999979</v>
      </c>
      <c r="K1832" s="488"/>
      <c r="L1832" s="467">
        <v>88094006.165999979</v>
      </c>
      <c r="M1832" s="28">
        <f>G1832*10%+G1832</f>
        <v>96903406.782599971</v>
      </c>
      <c r="N1832" s="28">
        <f>M1832*10%+M1832</f>
        <v>106593747.46085997</v>
      </c>
    </row>
    <row r="1833" spans="1:14" s="66" customFormat="1">
      <c r="A1833" s="238"/>
      <c r="B1833" s="231"/>
      <c r="C1833" s="30" t="s">
        <v>1842</v>
      </c>
      <c r="D1833" s="23"/>
      <c r="E1833" s="25"/>
      <c r="F1833" s="137">
        <f>SUM(F1832)</f>
        <v>88094006.165999979</v>
      </c>
      <c r="G1833" s="114">
        <f>SUM(G1832)</f>
        <v>88094006.165999979</v>
      </c>
      <c r="H1833" s="114">
        <f t="shared" ref="H1833:I1833" si="316">SUM(H1832)</f>
        <v>0</v>
      </c>
      <c r="I1833" s="114">
        <f t="shared" si="316"/>
        <v>0</v>
      </c>
      <c r="J1833" s="114">
        <f>SUM(J1832)</f>
        <v>88094006.165999979</v>
      </c>
      <c r="K1833" s="490"/>
      <c r="L1833" s="468">
        <f>SUM(L1832)</f>
        <v>88094006.165999979</v>
      </c>
      <c r="M1833" s="114">
        <f>SUM(M1832)</f>
        <v>96903406.782599971</v>
      </c>
      <c r="N1833" s="114">
        <f>SUM(N1832)</f>
        <v>106593747.46085997</v>
      </c>
    </row>
    <row r="1834" spans="1:14" s="20" customFormat="1">
      <c r="A1834" s="242"/>
      <c r="B1834" s="231"/>
      <c r="C1834" s="237" t="s">
        <v>47</v>
      </c>
      <c r="D1834" s="27">
        <v>22020108</v>
      </c>
      <c r="E1834" s="237" t="s">
        <v>812</v>
      </c>
      <c r="F1834" s="136">
        <v>260000</v>
      </c>
      <c r="G1834" s="28">
        <v>260000</v>
      </c>
      <c r="H1834" s="28"/>
      <c r="I1834" s="28"/>
      <c r="J1834" s="28">
        <v>260000</v>
      </c>
      <c r="K1834" s="488">
        <f>J1834*4.38%</f>
        <v>11388</v>
      </c>
      <c r="L1834" s="469">
        <v>248612</v>
      </c>
      <c r="M1834" s="28">
        <v>644000</v>
      </c>
      <c r="N1834" s="28">
        <v>644000</v>
      </c>
    </row>
    <row r="1835" spans="1:14" s="20" customFormat="1">
      <c r="A1835" s="242"/>
      <c r="B1835" s="231"/>
      <c r="C1835" s="237" t="s">
        <v>47</v>
      </c>
      <c r="D1835" s="27">
        <v>22020201</v>
      </c>
      <c r="E1835" s="237" t="s">
        <v>849</v>
      </c>
      <c r="F1835" s="136">
        <v>60000</v>
      </c>
      <c r="G1835" s="28">
        <v>60000</v>
      </c>
      <c r="H1835" s="28"/>
      <c r="I1835" s="28"/>
      <c r="J1835" s="28">
        <v>60000</v>
      </c>
      <c r="K1835" s="488">
        <f t="shared" ref="K1835:K1847" si="317">J1835*4.38%</f>
        <v>2628</v>
      </c>
      <c r="L1835" s="469">
        <v>57372</v>
      </c>
      <c r="M1835" s="28">
        <v>60000</v>
      </c>
      <c r="N1835" s="28">
        <v>60000</v>
      </c>
    </row>
    <row r="1836" spans="1:14" s="20" customFormat="1">
      <c r="A1836" s="242"/>
      <c r="B1836" s="231"/>
      <c r="C1836" s="237" t="s">
        <v>47</v>
      </c>
      <c r="D1836" s="27">
        <v>22020205</v>
      </c>
      <c r="E1836" s="237" t="s">
        <v>850</v>
      </c>
      <c r="F1836" s="136">
        <v>120000</v>
      </c>
      <c r="G1836" s="28">
        <v>120000</v>
      </c>
      <c r="H1836" s="28"/>
      <c r="I1836" s="28"/>
      <c r="J1836" s="28">
        <v>120000</v>
      </c>
      <c r="K1836" s="488">
        <f t="shared" si="317"/>
        <v>5256</v>
      </c>
      <c r="L1836" s="469">
        <v>114744</v>
      </c>
      <c r="M1836" s="28">
        <v>120000</v>
      </c>
      <c r="N1836" s="28">
        <v>120000</v>
      </c>
    </row>
    <row r="1837" spans="1:14" s="20" customFormat="1">
      <c r="A1837" s="242"/>
      <c r="B1837" s="231"/>
      <c r="C1837" s="237" t="s">
        <v>47</v>
      </c>
      <c r="D1837" s="27">
        <v>22020301</v>
      </c>
      <c r="E1837" s="237" t="s">
        <v>737</v>
      </c>
      <c r="F1837" s="136">
        <v>405000</v>
      </c>
      <c r="G1837" s="28">
        <v>405000</v>
      </c>
      <c r="H1837" s="28"/>
      <c r="I1837" s="28"/>
      <c r="J1837" s="28">
        <v>405000</v>
      </c>
      <c r="K1837" s="488">
        <f t="shared" si="317"/>
        <v>17739</v>
      </c>
      <c r="L1837" s="469">
        <v>387261</v>
      </c>
      <c r="M1837" s="28">
        <v>405000</v>
      </c>
      <c r="N1837" s="28">
        <v>405000</v>
      </c>
    </row>
    <row r="1838" spans="1:14" s="20" customFormat="1">
      <c r="A1838" s="242"/>
      <c r="B1838" s="231"/>
      <c r="C1838" s="237" t="s">
        <v>47</v>
      </c>
      <c r="D1838" s="27">
        <v>22020305</v>
      </c>
      <c r="E1838" s="237" t="s">
        <v>755</v>
      </c>
      <c r="F1838" s="136">
        <v>1216000</v>
      </c>
      <c r="G1838" s="28">
        <v>1216000</v>
      </c>
      <c r="H1838" s="28"/>
      <c r="I1838" s="28"/>
      <c r="J1838" s="28">
        <v>1216000</v>
      </c>
      <c r="K1838" s="488">
        <f t="shared" si="317"/>
        <v>53260.799999999996</v>
      </c>
      <c r="L1838" s="469">
        <v>1162739.2</v>
      </c>
      <c r="M1838" s="28">
        <v>1216000</v>
      </c>
      <c r="N1838" s="28">
        <v>1216000</v>
      </c>
    </row>
    <row r="1839" spans="1:14" s="20" customFormat="1">
      <c r="A1839" s="242"/>
      <c r="B1839" s="231"/>
      <c r="C1839" s="237" t="s">
        <v>47</v>
      </c>
      <c r="D1839" s="27">
        <v>22020307</v>
      </c>
      <c r="E1839" s="237" t="s">
        <v>822</v>
      </c>
      <c r="F1839" s="136">
        <v>91104</v>
      </c>
      <c r="G1839" s="28">
        <v>91104</v>
      </c>
      <c r="H1839" s="28"/>
      <c r="I1839" s="28"/>
      <c r="J1839" s="28">
        <v>91104</v>
      </c>
      <c r="K1839" s="488">
        <f t="shared" si="317"/>
        <v>3990.3552</v>
      </c>
      <c r="L1839" s="469">
        <v>87113.644800000009</v>
      </c>
      <c r="M1839" s="28">
        <v>91104</v>
      </c>
      <c r="N1839" s="28">
        <v>91104</v>
      </c>
    </row>
    <row r="1840" spans="1:14" s="20" customFormat="1">
      <c r="A1840" s="242"/>
      <c r="B1840" s="231"/>
      <c r="C1840" s="237" t="s">
        <v>47</v>
      </c>
      <c r="D1840" s="27">
        <v>22020309</v>
      </c>
      <c r="E1840" s="237" t="s">
        <v>739</v>
      </c>
      <c r="F1840" s="136">
        <v>400000</v>
      </c>
      <c r="G1840" s="28">
        <v>400000</v>
      </c>
      <c r="H1840" s="28"/>
      <c r="I1840" s="28"/>
      <c r="J1840" s="28">
        <v>400000</v>
      </c>
      <c r="K1840" s="488">
        <f t="shared" si="317"/>
        <v>17520</v>
      </c>
      <c r="L1840" s="469">
        <v>382480</v>
      </c>
      <c r="M1840" s="28">
        <v>400000</v>
      </c>
      <c r="N1840" s="28">
        <v>400000</v>
      </c>
    </row>
    <row r="1841" spans="1:14" s="20" customFormat="1">
      <c r="A1841" s="242"/>
      <c r="B1841" s="231"/>
      <c r="C1841" s="237" t="s">
        <v>47</v>
      </c>
      <c r="D1841" s="27">
        <v>22020310</v>
      </c>
      <c r="E1841" s="237" t="s">
        <v>819</v>
      </c>
      <c r="F1841" s="136">
        <v>700500</v>
      </c>
      <c r="G1841" s="28">
        <v>700500</v>
      </c>
      <c r="H1841" s="28"/>
      <c r="I1841" s="28"/>
      <c r="J1841" s="28">
        <v>700500</v>
      </c>
      <c r="K1841" s="488">
        <f t="shared" si="317"/>
        <v>30681.899999999998</v>
      </c>
      <c r="L1841" s="469">
        <v>669818.10000000009</v>
      </c>
      <c r="M1841" s="28">
        <v>700500</v>
      </c>
      <c r="N1841" s="28">
        <v>700500</v>
      </c>
    </row>
    <row r="1842" spans="1:14" s="20" customFormat="1">
      <c r="A1842" s="242"/>
      <c r="B1842" s="231"/>
      <c r="C1842" s="237" t="s">
        <v>47</v>
      </c>
      <c r="D1842" s="27">
        <v>22020801</v>
      </c>
      <c r="E1842" s="237" t="s">
        <v>747</v>
      </c>
      <c r="F1842" s="136">
        <v>375000</v>
      </c>
      <c r="G1842" s="28">
        <v>375000</v>
      </c>
      <c r="H1842" s="28"/>
      <c r="I1842" s="28"/>
      <c r="J1842" s="28">
        <v>375000</v>
      </c>
      <c r="K1842" s="488">
        <f t="shared" si="317"/>
        <v>16425</v>
      </c>
      <c r="L1842" s="469">
        <v>358575</v>
      </c>
      <c r="M1842" s="28">
        <v>375000</v>
      </c>
      <c r="N1842" s="28">
        <v>375000</v>
      </c>
    </row>
    <row r="1843" spans="1:14" s="20" customFormat="1">
      <c r="A1843" s="242"/>
      <c r="B1843" s="231"/>
      <c r="C1843" s="237" t="s">
        <v>47</v>
      </c>
      <c r="D1843" s="27">
        <v>22021001</v>
      </c>
      <c r="E1843" s="237" t="s">
        <v>772</v>
      </c>
      <c r="F1843" s="136">
        <v>224000</v>
      </c>
      <c r="G1843" s="28">
        <v>224000</v>
      </c>
      <c r="H1843" s="28"/>
      <c r="I1843" s="28"/>
      <c r="J1843" s="28">
        <v>224000</v>
      </c>
      <c r="K1843" s="488">
        <f t="shared" si="317"/>
        <v>9811.1999999999989</v>
      </c>
      <c r="L1843" s="469">
        <v>214188.80000000002</v>
      </c>
      <c r="M1843" s="28">
        <v>224000</v>
      </c>
      <c r="N1843" s="28">
        <v>224000</v>
      </c>
    </row>
    <row r="1844" spans="1:14" s="20" customFormat="1">
      <c r="A1844" s="242"/>
      <c r="B1844" s="231"/>
      <c r="C1844" s="237" t="s">
        <v>47</v>
      </c>
      <c r="D1844" s="27">
        <v>22021003</v>
      </c>
      <c r="E1844" s="237" t="s">
        <v>760</v>
      </c>
      <c r="F1844" s="136">
        <v>30000</v>
      </c>
      <c r="G1844" s="28">
        <v>30000</v>
      </c>
      <c r="H1844" s="28"/>
      <c r="I1844" s="28"/>
      <c r="J1844" s="28">
        <v>30000</v>
      </c>
      <c r="K1844" s="488">
        <f t="shared" si="317"/>
        <v>1314</v>
      </c>
      <c r="L1844" s="469">
        <v>28686</v>
      </c>
      <c r="M1844" s="28">
        <v>30000</v>
      </c>
      <c r="N1844" s="28">
        <v>30000</v>
      </c>
    </row>
    <row r="1845" spans="1:14" s="20" customFormat="1">
      <c r="A1845" s="242"/>
      <c r="B1845" s="231"/>
      <c r="C1845" s="237" t="s">
        <v>47</v>
      </c>
      <c r="D1845" s="27">
        <v>22021004</v>
      </c>
      <c r="E1845" s="237" t="s">
        <v>854</v>
      </c>
      <c r="F1845" s="136">
        <v>12500</v>
      </c>
      <c r="G1845" s="28">
        <v>12500</v>
      </c>
      <c r="H1845" s="28"/>
      <c r="I1845" s="28"/>
      <c r="J1845" s="28">
        <v>12500</v>
      </c>
      <c r="K1845" s="488">
        <f t="shared" si="317"/>
        <v>547.5</v>
      </c>
      <c r="L1845" s="469">
        <v>11952.5</v>
      </c>
      <c r="M1845" s="28">
        <v>13250</v>
      </c>
      <c r="N1845" s="28">
        <v>13250</v>
      </c>
    </row>
    <row r="1846" spans="1:14" s="20" customFormat="1">
      <c r="A1846" s="242"/>
      <c r="B1846" s="231"/>
      <c r="C1846" s="237" t="s">
        <v>47</v>
      </c>
      <c r="D1846" s="27">
        <v>22021009</v>
      </c>
      <c r="E1846" s="237" t="s">
        <v>873</v>
      </c>
      <c r="F1846" s="136"/>
      <c r="G1846" s="28">
        <v>300000</v>
      </c>
      <c r="H1846" s="28"/>
      <c r="I1846" s="28"/>
      <c r="J1846" s="28">
        <v>300000</v>
      </c>
      <c r="K1846" s="488">
        <f t="shared" si="317"/>
        <v>13140</v>
      </c>
      <c r="L1846" s="469">
        <v>286860</v>
      </c>
      <c r="M1846" s="28"/>
      <c r="N1846" s="28"/>
    </row>
    <row r="1847" spans="1:14" s="20" customFormat="1">
      <c r="A1847" s="238"/>
      <c r="B1847" s="231"/>
      <c r="C1847" s="30" t="s">
        <v>1837</v>
      </c>
      <c r="D1847" s="23"/>
      <c r="E1847" s="25"/>
      <c r="F1847" s="137">
        <f>SUM(F1834:F1845)</f>
        <v>3894104</v>
      </c>
      <c r="G1847" s="114">
        <f>SUM(G1834:G1846)</f>
        <v>4194104</v>
      </c>
      <c r="H1847" s="114">
        <f t="shared" ref="H1847:I1847" si="318">SUM(H1834:H1846)</f>
        <v>0</v>
      </c>
      <c r="I1847" s="114">
        <f t="shared" si="318"/>
        <v>0</v>
      </c>
      <c r="J1847" s="114">
        <f>SUM(J1834:J1846)</f>
        <v>4194104</v>
      </c>
      <c r="K1847" s="490">
        <f t="shared" si="317"/>
        <v>183701.75519999999</v>
      </c>
      <c r="L1847" s="468">
        <f>SUM(L1834:L1846)</f>
        <v>4010402.2448</v>
      </c>
      <c r="M1847" s="114">
        <f>SUM(M1834:M1845)</f>
        <v>4278854</v>
      </c>
      <c r="N1847" s="114">
        <f>SUM(N1834:N1845)</f>
        <v>4278854</v>
      </c>
    </row>
    <row r="1848" spans="1:14" s="66" customFormat="1" ht="30">
      <c r="A1848" s="238" t="s">
        <v>1035</v>
      </c>
      <c r="B1848" s="231" t="s">
        <v>1813</v>
      </c>
      <c r="C1848" s="30"/>
      <c r="D1848" s="23"/>
      <c r="E1848" s="25"/>
      <c r="F1848" s="137">
        <f>F1847+F1833</f>
        <v>91988110.165999979</v>
      </c>
      <c r="G1848" s="114">
        <f>G1847+G1833</f>
        <v>92288110.165999979</v>
      </c>
      <c r="H1848" s="114">
        <f t="shared" ref="H1848:I1848" si="319">H1847+H1833</f>
        <v>0</v>
      </c>
      <c r="I1848" s="114">
        <f t="shared" si="319"/>
        <v>0</v>
      </c>
      <c r="J1848" s="114">
        <f>J1847+J1833</f>
        <v>92288110.165999979</v>
      </c>
      <c r="K1848" s="490"/>
      <c r="L1848" s="468">
        <f>L1847+L1833</f>
        <v>92104408.41079998</v>
      </c>
      <c r="M1848" s="114">
        <f>M1847+M1833</f>
        <v>101182260.78259997</v>
      </c>
      <c r="N1848" s="114">
        <f>N1847+N1833</f>
        <v>110872601.46085997</v>
      </c>
    </row>
    <row r="1849" spans="1:14" s="20" customFormat="1" ht="21">
      <c r="A1849" s="252"/>
      <c r="B1849" s="443"/>
      <c r="C1849" s="228"/>
      <c r="D1849" s="229"/>
      <c r="E1849" s="230"/>
      <c r="F1849" s="215"/>
      <c r="G1849" s="296"/>
      <c r="H1849" s="296"/>
      <c r="I1849" s="296"/>
      <c r="J1849" s="28"/>
      <c r="K1849" s="488"/>
      <c r="L1849" s="468"/>
      <c r="M1849" s="296"/>
      <c r="N1849" s="296"/>
    </row>
    <row r="1850" spans="1:14" s="20" customFormat="1" ht="30">
      <c r="A1850" s="238" t="s">
        <v>1036</v>
      </c>
      <c r="B1850" s="231" t="s">
        <v>140</v>
      </c>
      <c r="C1850" s="237" t="s">
        <v>46</v>
      </c>
      <c r="D1850" s="27">
        <v>21010101</v>
      </c>
      <c r="E1850" s="237" t="s">
        <v>1698</v>
      </c>
      <c r="F1850" s="136">
        <v>20152767.48</v>
      </c>
      <c r="G1850" s="28">
        <v>20152767.48</v>
      </c>
      <c r="H1850" s="28"/>
      <c r="I1850" s="28"/>
      <c r="J1850" s="28">
        <v>20152767.48</v>
      </c>
      <c r="K1850" s="488"/>
      <c r="L1850" s="467">
        <v>20152767.48</v>
      </c>
      <c r="M1850" s="28">
        <f t="shared" ref="M1850:M1859" si="320">G1850*10%+G1850</f>
        <v>22168044.228</v>
      </c>
      <c r="N1850" s="28">
        <f>M1850*10%+M1850</f>
        <v>24384848.650800001</v>
      </c>
    </row>
    <row r="1851" spans="1:14" s="20" customFormat="1">
      <c r="A1851" s="242"/>
      <c r="B1851" s="231"/>
      <c r="C1851" s="237" t="s">
        <v>46</v>
      </c>
      <c r="D1851" s="27">
        <v>21020101</v>
      </c>
      <c r="E1851" s="237" t="s">
        <v>1020</v>
      </c>
      <c r="F1851" s="136">
        <v>5144583.4800000004</v>
      </c>
      <c r="G1851" s="28">
        <v>5144583.4800000004</v>
      </c>
      <c r="H1851" s="28"/>
      <c r="I1851" s="28"/>
      <c r="J1851" s="28">
        <v>5144583.4800000004</v>
      </c>
      <c r="K1851" s="488"/>
      <c r="L1851" s="467">
        <v>5144583.4800000004</v>
      </c>
      <c r="M1851" s="28">
        <f t="shared" si="320"/>
        <v>5659041.8280000007</v>
      </c>
      <c r="N1851" s="28">
        <f t="shared" ref="N1851:N1859" si="321">M1851*10%+M1851</f>
        <v>6224946.0108000003</v>
      </c>
    </row>
    <row r="1852" spans="1:14" s="20" customFormat="1">
      <c r="A1852" s="242"/>
      <c r="B1852" s="231"/>
      <c r="C1852" s="237" t="s">
        <v>46</v>
      </c>
      <c r="D1852" s="27">
        <v>21020102</v>
      </c>
      <c r="E1852" s="237" t="s">
        <v>1021</v>
      </c>
      <c r="F1852" s="136">
        <v>2058081.72</v>
      </c>
      <c r="G1852" s="28">
        <v>2058081.72</v>
      </c>
      <c r="H1852" s="28"/>
      <c r="I1852" s="28"/>
      <c r="J1852" s="28">
        <v>2058081.72</v>
      </c>
      <c r="K1852" s="488"/>
      <c r="L1852" s="467">
        <v>2058081.72</v>
      </c>
      <c r="M1852" s="28">
        <f t="shared" si="320"/>
        <v>2263889.892</v>
      </c>
      <c r="N1852" s="28">
        <f t="shared" si="321"/>
        <v>2490278.8812000002</v>
      </c>
    </row>
    <row r="1853" spans="1:14" s="20" customFormat="1">
      <c r="A1853" s="242"/>
      <c r="B1853" s="231"/>
      <c r="C1853" s="237" t="s">
        <v>46</v>
      </c>
      <c r="D1853" s="27">
        <v>21020103</v>
      </c>
      <c r="E1853" s="237" t="s">
        <v>1022</v>
      </c>
      <c r="F1853" s="136">
        <v>1029041.04</v>
      </c>
      <c r="G1853" s="28">
        <v>1029041.04</v>
      </c>
      <c r="H1853" s="28"/>
      <c r="I1853" s="28"/>
      <c r="J1853" s="28">
        <v>1029041.04</v>
      </c>
      <c r="K1853" s="488"/>
      <c r="L1853" s="467">
        <v>1029041.04</v>
      </c>
      <c r="M1853" s="28">
        <f t="shared" si="320"/>
        <v>1131945.1440000001</v>
      </c>
      <c r="N1853" s="28">
        <f t="shared" si="321"/>
        <v>1245139.6584000001</v>
      </c>
    </row>
    <row r="1854" spans="1:14" s="20" customFormat="1">
      <c r="A1854" s="242"/>
      <c r="B1854" s="231"/>
      <c r="C1854" s="237" t="s">
        <v>46</v>
      </c>
      <c r="D1854" s="27">
        <v>21020104</v>
      </c>
      <c r="E1854" s="237" t="s">
        <v>1023</v>
      </c>
      <c r="F1854" s="136">
        <v>1029041.04</v>
      </c>
      <c r="G1854" s="28">
        <v>1029041.04</v>
      </c>
      <c r="H1854" s="28"/>
      <c r="I1854" s="28"/>
      <c r="J1854" s="28">
        <v>1029041.04</v>
      </c>
      <c r="K1854" s="488"/>
      <c r="L1854" s="467">
        <v>1029041.04</v>
      </c>
      <c r="M1854" s="28">
        <f t="shared" si="320"/>
        <v>1131945.1440000001</v>
      </c>
      <c r="N1854" s="28">
        <f t="shared" si="321"/>
        <v>1245139.6584000001</v>
      </c>
    </row>
    <row r="1855" spans="1:14" s="20" customFormat="1">
      <c r="A1855" s="242"/>
      <c r="B1855" s="231"/>
      <c r="C1855" s="237" t="s">
        <v>46</v>
      </c>
      <c r="D1855" s="27">
        <v>21020105</v>
      </c>
      <c r="E1855" s="237" t="s">
        <v>1024</v>
      </c>
      <c r="F1855" s="136">
        <v>850143.84</v>
      </c>
      <c r="G1855" s="28">
        <v>850143.84</v>
      </c>
      <c r="H1855" s="28"/>
      <c r="I1855" s="28"/>
      <c r="J1855" s="28">
        <v>850143.84</v>
      </c>
      <c r="K1855" s="488"/>
      <c r="L1855" s="467">
        <v>850143.84</v>
      </c>
      <c r="M1855" s="28">
        <f t="shared" si="320"/>
        <v>935158.22399999993</v>
      </c>
      <c r="N1855" s="28">
        <f t="shared" si="321"/>
        <v>1028674.0463999999</v>
      </c>
    </row>
    <row r="1856" spans="1:14" s="20" customFormat="1">
      <c r="A1856" s="242"/>
      <c r="B1856" s="231"/>
      <c r="C1856" s="237" t="s">
        <v>46</v>
      </c>
      <c r="D1856" s="27">
        <v>21020106</v>
      </c>
      <c r="E1856" s="237" t="s">
        <v>1025</v>
      </c>
      <c r="F1856" s="136">
        <v>2058081.72</v>
      </c>
      <c r="G1856" s="28">
        <v>2058081.72</v>
      </c>
      <c r="H1856" s="28"/>
      <c r="I1856" s="28"/>
      <c r="J1856" s="28">
        <v>2058081.72</v>
      </c>
      <c r="K1856" s="488"/>
      <c r="L1856" s="467">
        <v>2058081.72</v>
      </c>
      <c r="M1856" s="28">
        <f t="shared" si="320"/>
        <v>2263889.892</v>
      </c>
      <c r="N1856" s="28">
        <f t="shared" si="321"/>
        <v>2490278.8812000002</v>
      </c>
    </row>
    <row r="1857" spans="1:14" s="20" customFormat="1">
      <c r="A1857" s="242"/>
      <c r="B1857" s="231"/>
      <c r="C1857" s="237" t="s">
        <v>46</v>
      </c>
      <c r="D1857" s="27">
        <v>21020107</v>
      </c>
      <c r="E1857" s="237" t="s">
        <v>1026</v>
      </c>
      <c r="F1857" s="136">
        <v>3024000</v>
      </c>
      <c r="G1857" s="28">
        <v>3024000</v>
      </c>
      <c r="H1857" s="28"/>
      <c r="I1857" s="28"/>
      <c r="J1857" s="28">
        <v>3024000</v>
      </c>
      <c r="K1857" s="488"/>
      <c r="L1857" s="467">
        <v>3024000</v>
      </c>
      <c r="M1857" s="28">
        <f t="shared" si="320"/>
        <v>3326400</v>
      </c>
      <c r="N1857" s="28">
        <f t="shared" si="321"/>
        <v>3659040</v>
      </c>
    </row>
    <row r="1858" spans="1:14" s="20" customFormat="1">
      <c r="A1858" s="242"/>
      <c r="B1858" s="231"/>
      <c r="C1858" s="237" t="s">
        <v>46</v>
      </c>
      <c r="D1858" s="27">
        <v>21020143</v>
      </c>
      <c r="E1858" s="237" t="s">
        <v>2075</v>
      </c>
      <c r="F1858" s="136">
        <v>4696756.5599999996</v>
      </c>
      <c r="G1858" s="28">
        <v>4696756.5599999996</v>
      </c>
      <c r="H1858" s="28"/>
      <c r="I1858" s="28"/>
      <c r="J1858" s="28">
        <v>4696756.5599999996</v>
      </c>
      <c r="K1858" s="488"/>
      <c r="L1858" s="467">
        <v>4696756.5599999996</v>
      </c>
      <c r="M1858" s="28">
        <f t="shared" si="320"/>
        <v>5166432.216</v>
      </c>
      <c r="N1858" s="28">
        <f t="shared" si="321"/>
        <v>5683075.4375999998</v>
      </c>
    </row>
    <row r="1859" spans="1:14" s="20" customFormat="1">
      <c r="A1859" s="242"/>
      <c r="B1859" s="231"/>
      <c r="C1859" s="237" t="s">
        <v>46</v>
      </c>
      <c r="D1859" s="27">
        <v>21020150</v>
      </c>
      <c r="E1859" s="237" t="s">
        <v>2076</v>
      </c>
      <c r="F1859" s="136">
        <v>1029041.04</v>
      </c>
      <c r="G1859" s="28">
        <f>1029041.04+31200</f>
        <v>1060241.04</v>
      </c>
      <c r="H1859" s="28"/>
      <c r="I1859" s="28"/>
      <c r="J1859" s="28">
        <v>1060241.04</v>
      </c>
      <c r="K1859" s="488"/>
      <c r="L1859" s="467">
        <v>1060241.04</v>
      </c>
      <c r="M1859" s="28">
        <f t="shared" si="320"/>
        <v>1166265.1440000001</v>
      </c>
      <c r="N1859" s="28">
        <f t="shared" si="321"/>
        <v>1282891.6584000001</v>
      </c>
    </row>
    <row r="1860" spans="1:14" s="20" customFormat="1">
      <c r="A1860" s="238"/>
      <c r="B1860" s="231"/>
      <c r="C1860" s="30" t="s">
        <v>1842</v>
      </c>
      <c r="D1860" s="23"/>
      <c r="E1860" s="25"/>
      <c r="F1860" s="137">
        <f>SUM(F1850:F1859)</f>
        <v>41071537.919999994</v>
      </c>
      <c r="G1860" s="114">
        <f>SUM(G1850:G1859)</f>
        <v>41102737.919999994</v>
      </c>
      <c r="H1860" s="114">
        <f t="shared" ref="H1860:I1860" si="322">SUM(H1850:H1859)</f>
        <v>0</v>
      </c>
      <c r="I1860" s="114">
        <f t="shared" si="322"/>
        <v>0</v>
      </c>
      <c r="J1860" s="114">
        <f>SUM(J1850:J1859)</f>
        <v>41102737.919999994</v>
      </c>
      <c r="K1860" s="490"/>
      <c r="L1860" s="468">
        <f>SUM(L1850:L1859)</f>
        <v>41102737.919999994</v>
      </c>
      <c r="M1860" s="114">
        <f>SUM(M1850:M1859)</f>
        <v>45213011.712000005</v>
      </c>
      <c r="N1860" s="114">
        <f>SUM(N1850:N1859)</f>
        <v>49734312.883200005</v>
      </c>
    </row>
    <row r="1861" spans="1:14" s="20" customFormat="1">
      <c r="A1861" s="242"/>
      <c r="B1861" s="231"/>
      <c r="C1861" s="237" t="s">
        <v>47</v>
      </c>
      <c r="D1861" s="27">
        <v>22020301</v>
      </c>
      <c r="E1861" s="237" t="s">
        <v>737</v>
      </c>
      <c r="F1861" s="136">
        <v>285000</v>
      </c>
      <c r="G1861" s="28">
        <v>285000</v>
      </c>
      <c r="H1861" s="28"/>
      <c r="I1861" s="28"/>
      <c r="J1861" s="28">
        <v>285000</v>
      </c>
      <c r="K1861" s="488">
        <f>J1861*4.38%</f>
        <v>12483</v>
      </c>
      <c r="L1861" s="469">
        <v>272517</v>
      </c>
      <c r="M1861" s="28">
        <v>285000</v>
      </c>
      <c r="N1861" s="28">
        <v>285000</v>
      </c>
    </row>
    <row r="1862" spans="1:14" s="20" customFormat="1">
      <c r="A1862" s="242"/>
      <c r="B1862" s="231"/>
      <c r="C1862" s="237" t="s">
        <v>47</v>
      </c>
      <c r="D1862" s="27">
        <v>22020305</v>
      </c>
      <c r="E1862" s="237" t="s">
        <v>755</v>
      </c>
      <c r="F1862" s="136">
        <v>100000</v>
      </c>
      <c r="G1862" s="28">
        <v>100000</v>
      </c>
      <c r="H1862" s="28"/>
      <c r="I1862" s="28"/>
      <c r="J1862" s="28">
        <v>100000</v>
      </c>
      <c r="K1862" s="488">
        <f t="shared" ref="K1862:K1874" si="323">J1862*4.38%</f>
        <v>4380</v>
      </c>
      <c r="L1862" s="469">
        <v>95620</v>
      </c>
      <c r="M1862" s="28">
        <v>100000</v>
      </c>
      <c r="N1862" s="28">
        <v>100000</v>
      </c>
    </row>
    <row r="1863" spans="1:14" s="20" customFormat="1">
      <c r="A1863" s="242"/>
      <c r="B1863" s="231"/>
      <c r="C1863" s="237" t="s">
        <v>47</v>
      </c>
      <c r="D1863" s="27">
        <v>22020307</v>
      </c>
      <c r="E1863" s="237" t="s">
        <v>822</v>
      </c>
      <c r="F1863" s="136">
        <v>25600</v>
      </c>
      <c r="G1863" s="28">
        <v>25600</v>
      </c>
      <c r="H1863" s="28"/>
      <c r="I1863" s="28"/>
      <c r="J1863" s="28">
        <v>25600</v>
      </c>
      <c r="K1863" s="488">
        <f t="shared" si="323"/>
        <v>1121.28</v>
      </c>
      <c r="L1863" s="469">
        <v>24478.720000000001</v>
      </c>
      <c r="M1863" s="28">
        <v>25600</v>
      </c>
      <c r="N1863" s="28">
        <v>25600</v>
      </c>
    </row>
    <row r="1864" spans="1:14" s="20" customFormat="1">
      <c r="A1864" s="242"/>
      <c r="B1864" s="231"/>
      <c r="C1864" s="237" t="s">
        <v>47</v>
      </c>
      <c r="D1864" s="27">
        <v>22020310</v>
      </c>
      <c r="E1864" s="237" t="s">
        <v>819</v>
      </c>
      <c r="F1864" s="136">
        <v>567300</v>
      </c>
      <c r="G1864" s="28">
        <v>567300</v>
      </c>
      <c r="H1864" s="28"/>
      <c r="I1864" s="28"/>
      <c r="J1864" s="28">
        <v>567300</v>
      </c>
      <c r="K1864" s="488">
        <f t="shared" si="323"/>
        <v>24847.739999999998</v>
      </c>
      <c r="L1864" s="469">
        <v>542452.26</v>
      </c>
      <c r="M1864" s="28">
        <v>567300</v>
      </c>
      <c r="N1864" s="28">
        <v>567300</v>
      </c>
    </row>
    <row r="1865" spans="1:14" s="20" customFormat="1">
      <c r="A1865" s="242"/>
      <c r="B1865" s="231"/>
      <c r="C1865" s="237" t="s">
        <v>47</v>
      </c>
      <c r="D1865" s="27">
        <v>22020404</v>
      </c>
      <c r="E1865" s="237" t="s">
        <v>742</v>
      </c>
      <c r="F1865" s="136">
        <v>120000</v>
      </c>
      <c r="G1865" s="28">
        <v>120000</v>
      </c>
      <c r="H1865" s="28"/>
      <c r="I1865" s="28"/>
      <c r="J1865" s="28">
        <v>120000</v>
      </c>
      <c r="K1865" s="488">
        <f t="shared" si="323"/>
        <v>5256</v>
      </c>
      <c r="L1865" s="469">
        <v>114744</v>
      </c>
      <c r="M1865" s="28">
        <v>120000</v>
      </c>
      <c r="N1865" s="28">
        <v>120000</v>
      </c>
    </row>
    <row r="1866" spans="1:14" s="20" customFormat="1">
      <c r="A1866" s="242"/>
      <c r="B1866" s="231"/>
      <c r="C1866" s="237" t="s">
        <v>47</v>
      </c>
      <c r="D1866" s="27">
        <v>22020504</v>
      </c>
      <c r="E1866" s="237" t="s">
        <v>897</v>
      </c>
      <c r="F1866" s="136">
        <v>20000</v>
      </c>
      <c r="G1866" s="28">
        <v>20000</v>
      </c>
      <c r="H1866" s="28"/>
      <c r="I1866" s="28"/>
      <c r="J1866" s="28">
        <v>20000</v>
      </c>
      <c r="K1866" s="488">
        <f t="shared" si="323"/>
        <v>876</v>
      </c>
      <c r="L1866" s="469">
        <v>19124</v>
      </c>
      <c r="M1866" s="28">
        <v>20000</v>
      </c>
      <c r="N1866" s="28">
        <v>20000</v>
      </c>
    </row>
    <row r="1867" spans="1:14" s="20" customFormat="1">
      <c r="A1867" s="242"/>
      <c r="B1867" s="231"/>
      <c r="C1867" s="237" t="s">
        <v>47</v>
      </c>
      <c r="D1867" s="27">
        <v>22020605</v>
      </c>
      <c r="E1867" s="237" t="s">
        <v>768</v>
      </c>
      <c r="F1867" s="136">
        <v>45000</v>
      </c>
      <c r="G1867" s="28">
        <v>45000</v>
      </c>
      <c r="H1867" s="28"/>
      <c r="I1867" s="28"/>
      <c r="J1867" s="28">
        <v>45000</v>
      </c>
      <c r="K1867" s="488">
        <f t="shared" si="323"/>
        <v>1971</v>
      </c>
      <c r="L1867" s="469">
        <v>43029</v>
      </c>
      <c r="M1867" s="28">
        <v>45000</v>
      </c>
      <c r="N1867" s="28">
        <v>45000</v>
      </c>
    </row>
    <row r="1868" spans="1:14" s="20" customFormat="1">
      <c r="A1868" s="242"/>
      <c r="B1868" s="231"/>
      <c r="C1868" s="237" t="s">
        <v>47</v>
      </c>
      <c r="D1868" s="27">
        <v>22020709</v>
      </c>
      <c r="E1868" s="237" t="s">
        <v>771</v>
      </c>
      <c r="F1868" s="136">
        <v>340000</v>
      </c>
      <c r="G1868" s="28">
        <v>340000</v>
      </c>
      <c r="H1868" s="28"/>
      <c r="I1868" s="28"/>
      <c r="J1868" s="28">
        <v>340000</v>
      </c>
      <c r="K1868" s="488">
        <f t="shared" si="323"/>
        <v>14892</v>
      </c>
      <c r="L1868" s="469">
        <v>325108</v>
      </c>
      <c r="M1868" s="28">
        <v>340000</v>
      </c>
      <c r="N1868" s="28">
        <v>340000</v>
      </c>
    </row>
    <row r="1869" spans="1:14" s="20" customFormat="1">
      <c r="A1869" s="242"/>
      <c r="B1869" s="231"/>
      <c r="C1869" s="237" t="s">
        <v>47</v>
      </c>
      <c r="D1869" s="27">
        <v>22020803</v>
      </c>
      <c r="E1869" s="237" t="s">
        <v>748</v>
      </c>
      <c r="F1869" s="136">
        <v>608700</v>
      </c>
      <c r="G1869" s="28">
        <v>608700</v>
      </c>
      <c r="H1869" s="28"/>
      <c r="I1869" s="28"/>
      <c r="J1869" s="28">
        <v>608700</v>
      </c>
      <c r="K1869" s="488">
        <f t="shared" si="323"/>
        <v>26661.059999999998</v>
      </c>
      <c r="L1869" s="469">
        <v>582038.94000000006</v>
      </c>
      <c r="M1869" s="28">
        <v>608700</v>
      </c>
      <c r="N1869" s="28">
        <v>608700</v>
      </c>
    </row>
    <row r="1870" spans="1:14" s="20" customFormat="1">
      <c r="A1870" s="242"/>
      <c r="B1870" s="231"/>
      <c r="C1870" s="237" t="s">
        <v>47</v>
      </c>
      <c r="D1870" s="27">
        <v>22020901</v>
      </c>
      <c r="E1870" s="237" t="s">
        <v>749</v>
      </c>
      <c r="F1870" s="136">
        <v>127000</v>
      </c>
      <c r="G1870" s="28">
        <v>5000</v>
      </c>
      <c r="H1870" s="28"/>
      <c r="I1870" s="28"/>
      <c r="J1870" s="28">
        <v>5000</v>
      </c>
      <c r="K1870" s="488">
        <f t="shared" si="323"/>
        <v>219</v>
      </c>
      <c r="L1870" s="469">
        <v>4781</v>
      </c>
      <c r="M1870" s="28">
        <v>127000</v>
      </c>
      <c r="N1870" s="28">
        <v>127000</v>
      </c>
    </row>
    <row r="1871" spans="1:14" s="20" customFormat="1">
      <c r="A1871" s="242"/>
      <c r="B1871" s="231"/>
      <c r="C1871" s="237" t="s">
        <v>47</v>
      </c>
      <c r="D1871" s="27">
        <v>22021001</v>
      </c>
      <c r="E1871" s="237" t="s">
        <v>772</v>
      </c>
      <c r="F1871" s="136">
        <v>604000</v>
      </c>
      <c r="G1871" s="28">
        <v>604000</v>
      </c>
      <c r="H1871" s="28"/>
      <c r="I1871" s="28"/>
      <c r="J1871" s="28">
        <v>604000</v>
      </c>
      <c r="K1871" s="488">
        <f t="shared" si="323"/>
        <v>26455.200000000001</v>
      </c>
      <c r="L1871" s="469">
        <v>577544.80000000005</v>
      </c>
      <c r="M1871" s="28">
        <v>604000</v>
      </c>
      <c r="N1871" s="28">
        <v>604000</v>
      </c>
    </row>
    <row r="1872" spans="1:14" s="20" customFormat="1">
      <c r="A1872" s="242"/>
      <c r="B1872" s="231"/>
      <c r="C1872" s="237" t="s">
        <v>47</v>
      </c>
      <c r="D1872" s="27">
        <v>22021003</v>
      </c>
      <c r="E1872" s="237" t="s">
        <v>760</v>
      </c>
      <c r="F1872" s="136">
        <v>210000</v>
      </c>
      <c r="G1872" s="28">
        <v>210000</v>
      </c>
      <c r="H1872" s="28"/>
      <c r="I1872" s="28"/>
      <c r="J1872" s="28">
        <v>210000</v>
      </c>
      <c r="K1872" s="488">
        <f t="shared" si="323"/>
        <v>9198</v>
      </c>
      <c r="L1872" s="469">
        <v>200802</v>
      </c>
      <c r="M1872" s="28">
        <v>210000</v>
      </c>
      <c r="N1872" s="28">
        <v>210000</v>
      </c>
    </row>
    <row r="1873" spans="1:14" s="20" customFormat="1">
      <c r="A1873" s="242"/>
      <c r="B1873" s="231"/>
      <c r="C1873" s="237" t="s">
        <v>47</v>
      </c>
      <c r="D1873" s="27">
        <v>22021009</v>
      </c>
      <c r="E1873" s="237" t="s">
        <v>873</v>
      </c>
      <c r="F1873" s="136">
        <v>201985</v>
      </c>
      <c r="G1873" s="28">
        <v>300000</v>
      </c>
      <c r="H1873" s="28"/>
      <c r="I1873" s="28"/>
      <c r="J1873" s="28">
        <v>300000</v>
      </c>
      <c r="K1873" s="488">
        <f t="shared" si="323"/>
        <v>13140</v>
      </c>
      <c r="L1873" s="469">
        <v>286860</v>
      </c>
      <c r="M1873" s="28">
        <v>201985</v>
      </c>
      <c r="N1873" s="28">
        <v>201985</v>
      </c>
    </row>
    <row r="1874" spans="1:14" s="20" customFormat="1">
      <c r="A1874" s="238"/>
      <c r="B1874" s="231"/>
      <c r="C1874" s="30" t="s">
        <v>1837</v>
      </c>
      <c r="D1874" s="23"/>
      <c r="E1874" s="25"/>
      <c r="F1874" s="137">
        <f>SUM(F1861:F1873)</f>
        <v>3254585</v>
      </c>
      <c r="G1874" s="114">
        <f>SUM(G1861:G1873)</f>
        <v>3230600</v>
      </c>
      <c r="H1874" s="114">
        <f t="shared" ref="H1874:I1874" si="324">SUM(H1861:H1873)</f>
        <v>0</v>
      </c>
      <c r="I1874" s="114">
        <f t="shared" si="324"/>
        <v>0</v>
      </c>
      <c r="J1874" s="114">
        <f>SUM(J1861:J1873)</f>
        <v>3230600</v>
      </c>
      <c r="K1874" s="490">
        <f t="shared" si="323"/>
        <v>141500.28</v>
      </c>
      <c r="L1874" s="468">
        <f>SUM(L1861:L1873)</f>
        <v>3089099.7199999997</v>
      </c>
      <c r="M1874" s="114">
        <f>SUM(M1861:M1873)</f>
        <v>3254585</v>
      </c>
      <c r="N1874" s="114">
        <f>SUM(N1861:N1873)</f>
        <v>3254585</v>
      </c>
    </row>
    <row r="1875" spans="1:14" s="66" customFormat="1" ht="30">
      <c r="A1875" s="238" t="s">
        <v>1036</v>
      </c>
      <c r="B1875" s="231" t="s">
        <v>1814</v>
      </c>
      <c r="C1875" s="30"/>
      <c r="D1875" s="23"/>
      <c r="E1875" s="25"/>
      <c r="F1875" s="137">
        <f>F1874+F1860</f>
        <v>44326122.919999994</v>
      </c>
      <c r="G1875" s="114">
        <f>G1874+G1860</f>
        <v>44333337.919999994</v>
      </c>
      <c r="H1875" s="114">
        <f t="shared" ref="H1875:I1875" si="325">H1874+H1860</f>
        <v>0</v>
      </c>
      <c r="I1875" s="114">
        <f t="shared" si="325"/>
        <v>0</v>
      </c>
      <c r="J1875" s="114">
        <f>J1874+J1860</f>
        <v>44333337.919999994</v>
      </c>
      <c r="K1875" s="490"/>
      <c r="L1875" s="468">
        <f>L1874+L1860</f>
        <v>44191837.639999993</v>
      </c>
      <c r="M1875" s="114">
        <f>M1874+M1860</f>
        <v>48467596.712000005</v>
      </c>
      <c r="N1875" s="114">
        <f>N1874+N1860</f>
        <v>52988897.883200005</v>
      </c>
    </row>
    <row r="1876" spans="1:14" s="20" customFormat="1" ht="21">
      <c r="A1876" s="252"/>
      <c r="B1876" s="443"/>
      <c r="C1876" s="228"/>
      <c r="D1876" s="229"/>
      <c r="E1876" s="230"/>
      <c r="F1876" s="215"/>
      <c r="G1876" s="296"/>
      <c r="H1876" s="296"/>
      <c r="I1876" s="296"/>
      <c r="J1876" s="28"/>
      <c r="K1876" s="488"/>
      <c r="L1876" s="468"/>
      <c r="M1876" s="296"/>
      <c r="N1876" s="296"/>
    </row>
    <row r="1877" spans="1:14" s="20" customFormat="1">
      <c r="A1877" s="238" t="s">
        <v>1784</v>
      </c>
      <c r="B1877" s="231" t="s">
        <v>139</v>
      </c>
      <c r="C1877" s="32" t="s">
        <v>46</v>
      </c>
      <c r="D1877" s="77">
        <v>21010101</v>
      </c>
      <c r="E1877" s="32" t="s">
        <v>725</v>
      </c>
      <c r="F1877" s="224">
        <v>34921634.760000005</v>
      </c>
      <c r="G1877" s="301">
        <v>75840756.480000004</v>
      </c>
      <c r="H1877" s="301"/>
      <c r="I1877" s="301"/>
      <c r="J1877" s="28">
        <v>75840756.480000004</v>
      </c>
      <c r="K1877" s="488"/>
      <c r="L1877" s="467">
        <v>75840756.480000004</v>
      </c>
      <c r="M1877" s="297">
        <f>G1877*10%+G1877</f>
        <v>83424832.128000006</v>
      </c>
      <c r="N1877" s="297">
        <f>M1877*10%+M1877</f>
        <v>91767315.340800002</v>
      </c>
    </row>
    <row r="1878" spans="1:14" s="20" customFormat="1">
      <c r="A1878" s="238"/>
      <c r="B1878" s="231"/>
      <c r="C1878" s="30" t="s">
        <v>1836</v>
      </c>
      <c r="D1878" s="23"/>
      <c r="E1878" s="25"/>
      <c r="F1878" s="137">
        <f>SUM(F1877)</f>
        <v>34921634.760000005</v>
      </c>
      <c r="G1878" s="114">
        <f>SUM(G1877)</f>
        <v>75840756.480000004</v>
      </c>
      <c r="H1878" s="114">
        <f t="shared" ref="H1878:I1878" si="326">SUM(H1877)</f>
        <v>0</v>
      </c>
      <c r="I1878" s="114">
        <f t="shared" si="326"/>
        <v>0</v>
      </c>
      <c r="J1878" s="114">
        <f>SUM(J1877)</f>
        <v>75840756.480000004</v>
      </c>
      <c r="K1878" s="490"/>
      <c r="L1878" s="468">
        <f>SUM(L1877)</f>
        <v>75840756.480000004</v>
      </c>
      <c r="M1878" s="114">
        <f>SUM(M1877)</f>
        <v>83424832.128000006</v>
      </c>
      <c r="N1878" s="114">
        <f>SUM(N1877)</f>
        <v>91767315.340800002</v>
      </c>
    </row>
    <row r="1879" spans="1:14" s="20" customFormat="1">
      <c r="A1879" s="253"/>
      <c r="B1879" s="231"/>
      <c r="C1879" s="32" t="s">
        <v>47</v>
      </c>
      <c r="D1879" s="239">
        <v>22020105</v>
      </c>
      <c r="E1879" s="240" t="s">
        <v>1733</v>
      </c>
      <c r="F1879" s="138">
        <v>460000</v>
      </c>
      <c r="G1879" s="297">
        <v>460000</v>
      </c>
      <c r="H1879" s="297"/>
      <c r="I1879" s="297"/>
      <c r="J1879" s="28">
        <v>460000</v>
      </c>
      <c r="K1879" s="488">
        <f>J1879*4.38%</f>
        <v>20148</v>
      </c>
      <c r="L1879" s="469">
        <v>439852</v>
      </c>
      <c r="M1879" s="297">
        <v>460000</v>
      </c>
      <c r="N1879" s="297">
        <v>460000</v>
      </c>
    </row>
    <row r="1880" spans="1:14" s="20" customFormat="1">
      <c r="A1880" s="253"/>
      <c r="B1880" s="231"/>
      <c r="C1880" s="32" t="s">
        <v>47</v>
      </c>
      <c r="D1880" s="239">
        <v>22020108</v>
      </c>
      <c r="E1880" s="240" t="s">
        <v>812</v>
      </c>
      <c r="F1880" s="138">
        <v>10000</v>
      </c>
      <c r="G1880" s="297">
        <v>10000</v>
      </c>
      <c r="H1880" s="297"/>
      <c r="I1880" s="297"/>
      <c r="J1880" s="28">
        <v>10000</v>
      </c>
      <c r="K1880" s="488">
        <f t="shared" ref="K1880:K1898" si="327">J1880*4.38%</f>
        <v>438</v>
      </c>
      <c r="L1880" s="469">
        <v>9562</v>
      </c>
      <c r="M1880" s="297">
        <v>10000</v>
      </c>
      <c r="N1880" s="297">
        <v>10000</v>
      </c>
    </row>
    <row r="1881" spans="1:14" s="20" customFormat="1">
      <c r="A1881" s="253"/>
      <c r="B1881" s="231"/>
      <c r="C1881" s="32" t="s">
        <v>47</v>
      </c>
      <c r="D1881" s="239">
        <v>22020201</v>
      </c>
      <c r="E1881" s="240" t="s">
        <v>849</v>
      </c>
      <c r="F1881" s="138">
        <v>744000</v>
      </c>
      <c r="G1881" s="297">
        <v>300000</v>
      </c>
      <c r="H1881" s="297"/>
      <c r="I1881" s="297"/>
      <c r="J1881" s="28">
        <v>300000</v>
      </c>
      <c r="K1881" s="488">
        <f t="shared" si="327"/>
        <v>13140</v>
      </c>
      <c r="L1881" s="469">
        <v>286860</v>
      </c>
      <c r="M1881" s="297">
        <v>744000</v>
      </c>
      <c r="N1881" s="297">
        <v>744000</v>
      </c>
    </row>
    <row r="1882" spans="1:14" s="20" customFormat="1">
      <c r="A1882" s="253"/>
      <c r="B1882" s="231"/>
      <c r="C1882" s="32" t="s">
        <v>47</v>
      </c>
      <c r="D1882" s="239">
        <v>22020301</v>
      </c>
      <c r="E1882" s="135" t="s">
        <v>737</v>
      </c>
      <c r="F1882" s="138">
        <v>634000</v>
      </c>
      <c r="G1882" s="297">
        <v>300000</v>
      </c>
      <c r="H1882" s="297"/>
      <c r="I1882" s="297"/>
      <c r="J1882" s="28">
        <v>300000</v>
      </c>
      <c r="K1882" s="488">
        <f t="shared" si="327"/>
        <v>13140</v>
      </c>
      <c r="L1882" s="469">
        <v>286860</v>
      </c>
      <c r="M1882" s="297">
        <v>634000</v>
      </c>
      <c r="N1882" s="297">
        <v>634000</v>
      </c>
    </row>
    <row r="1883" spans="1:14" s="20" customFormat="1">
      <c r="A1883" s="253"/>
      <c r="B1883" s="231"/>
      <c r="C1883" s="32" t="s">
        <v>47</v>
      </c>
      <c r="D1883" s="239">
        <v>22020303</v>
      </c>
      <c r="E1883" s="240" t="s">
        <v>738</v>
      </c>
      <c r="F1883" s="138">
        <v>210000</v>
      </c>
      <c r="G1883" s="297">
        <v>100000</v>
      </c>
      <c r="H1883" s="297"/>
      <c r="I1883" s="297"/>
      <c r="J1883" s="28">
        <v>100000</v>
      </c>
      <c r="K1883" s="488">
        <f t="shared" si="327"/>
        <v>4380</v>
      </c>
      <c r="L1883" s="469">
        <v>95620</v>
      </c>
      <c r="M1883" s="297">
        <v>210000</v>
      </c>
      <c r="N1883" s="297">
        <v>210000</v>
      </c>
    </row>
    <row r="1884" spans="1:14" s="20" customFormat="1">
      <c r="A1884" s="253"/>
      <c r="B1884" s="231"/>
      <c r="C1884" s="32" t="s">
        <v>47</v>
      </c>
      <c r="D1884" s="239">
        <v>22020305</v>
      </c>
      <c r="E1884" s="240" t="s">
        <v>755</v>
      </c>
      <c r="F1884" s="138">
        <v>1247200</v>
      </c>
      <c r="G1884" s="297">
        <v>247200</v>
      </c>
      <c r="H1884" s="297"/>
      <c r="I1884" s="297"/>
      <c r="J1884" s="28">
        <v>247200</v>
      </c>
      <c r="K1884" s="488">
        <f t="shared" si="327"/>
        <v>10827.359999999999</v>
      </c>
      <c r="L1884" s="469">
        <v>236372.64</v>
      </c>
      <c r="M1884" s="297">
        <v>1247200</v>
      </c>
      <c r="N1884" s="297">
        <v>1247200</v>
      </c>
    </row>
    <row r="1885" spans="1:14" s="20" customFormat="1">
      <c r="A1885" s="253"/>
      <c r="B1885" s="231"/>
      <c r="C1885" s="32" t="s">
        <v>47</v>
      </c>
      <c r="D1885" s="239">
        <v>22020307</v>
      </c>
      <c r="E1885" s="240" t="s">
        <v>822</v>
      </c>
      <c r="F1885" s="138">
        <v>491450</v>
      </c>
      <c r="G1885" s="297">
        <v>100000</v>
      </c>
      <c r="H1885" s="297"/>
      <c r="I1885" s="297"/>
      <c r="J1885" s="28">
        <v>100000</v>
      </c>
      <c r="K1885" s="488">
        <f t="shared" si="327"/>
        <v>4380</v>
      </c>
      <c r="L1885" s="469">
        <v>95620</v>
      </c>
      <c r="M1885" s="297">
        <v>491450</v>
      </c>
      <c r="N1885" s="297">
        <v>491450</v>
      </c>
    </row>
    <row r="1886" spans="1:14" s="20" customFormat="1">
      <c r="A1886" s="253"/>
      <c r="B1886" s="231"/>
      <c r="C1886" s="32" t="s">
        <v>47</v>
      </c>
      <c r="D1886" s="239">
        <v>22020310</v>
      </c>
      <c r="E1886" s="240" t="s">
        <v>819</v>
      </c>
      <c r="F1886" s="138">
        <v>1286100</v>
      </c>
      <c r="G1886" s="297">
        <v>286100</v>
      </c>
      <c r="H1886" s="297"/>
      <c r="I1886" s="297"/>
      <c r="J1886" s="28">
        <v>286100</v>
      </c>
      <c r="K1886" s="488">
        <f t="shared" si="327"/>
        <v>12531.18</v>
      </c>
      <c r="L1886" s="469">
        <v>273568.82</v>
      </c>
      <c r="M1886" s="297">
        <v>1286100</v>
      </c>
      <c r="N1886" s="297">
        <v>1286100</v>
      </c>
    </row>
    <row r="1887" spans="1:14" s="20" customFormat="1">
      <c r="A1887" s="253"/>
      <c r="B1887" s="231"/>
      <c r="C1887" s="32" t="s">
        <v>47</v>
      </c>
      <c r="D1887" s="239">
        <v>22020315</v>
      </c>
      <c r="E1887" s="240" t="s">
        <v>740</v>
      </c>
      <c r="F1887" s="138">
        <v>410400</v>
      </c>
      <c r="G1887" s="297">
        <v>263000</v>
      </c>
      <c r="H1887" s="297"/>
      <c r="I1887" s="297"/>
      <c r="J1887" s="28">
        <v>263000</v>
      </c>
      <c r="K1887" s="488">
        <f t="shared" si="327"/>
        <v>11519.4</v>
      </c>
      <c r="L1887" s="469">
        <v>251480.6</v>
      </c>
      <c r="M1887" s="297">
        <v>410400</v>
      </c>
      <c r="N1887" s="297">
        <v>410400</v>
      </c>
    </row>
    <row r="1888" spans="1:14" s="20" customFormat="1">
      <c r="A1888" s="253"/>
      <c r="B1888" s="231"/>
      <c r="C1888" s="32" t="s">
        <v>47</v>
      </c>
      <c r="D1888" s="239">
        <v>22020401</v>
      </c>
      <c r="E1888" s="135" t="s">
        <v>741</v>
      </c>
      <c r="F1888" s="138">
        <v>266700</v>
      </c>
      <c r="G1888" s="297">
        <v>266700</v>
      </c>
      <c r="H1888" s="297"/>
      <c r="I1888" s="297"/>
      <c r="J1888" s="28">
        <v>266700</v>
      </c>
      <c r="K1888" s="488">
        <f t="shared" si="327"/>
        <v>11681.46</v>
      </c>
      <c r="L1888" s="469">
        <v>255018.54</v>
      </c>
      <c r="M1888" s="297">
        <v>266700</v>
      </c>
      <c r="N1888" s="297">
        <v>266700</v>
      </c>
    </row>
    <row r="1889" spans="1:14" s="20" customFormat="1">
      <c r="A1889" s="253"/>
      <c r="B1889" s="231"/>
      <c r="C1889" s="32" t="s">
        <v>47</v>
      </c>
      <c r="D1889" s="239">
        <v>22020402</v>
      </c>
      <c r="E1889" s="240" t="s">
        <v>757</v>
      </c>
      <c r="F1889" s="138">
        <v>774000</v>
      </c>
      <c r="G1889" s="297">
        <v>500000</v>
      </c>
      <c r="H1889" s="297"/>
      <c r="I1889" s="297"/>
      <c r="J1889" s="28">
        <v>500000</v>
      </c>
      <c r="K1889" s="488">
        <f t="shared" si="327"/>
        <v>21900</v>
      </c>
      <c r="L1889" s="469">
        <v>478100</v>
      </c>
      <c r="M1889" s="297">
        <v>774000</v>
      </c>
      <c r="N1889" s="297">
        <v>774000</v>
      </c>
    </row>
    <row r="1890" spans="1:14" s="20" customFormat="1">
      <c r="A1890" s="253"/>
      <c r="B1890" s="231"/>
      <c r="C1890" s="32" t="s">
        <v>47</v>
      </c>
      <c r="D1890" s="239">
        <v>22020403</v>
      </c>
      <c r="E1890" s="135" t="s">
        <v>781</v>
      </c>
      <c r="F1890" s="138">
        <v>556100</v>
      </c>
      <c r="G1890" s="297">
        <v>200000</v>
      </c>
      <c r="H1890" s="297"/>
      <c r="I1890" s="297"/>
      <c r="J1890" s="28">
        <v>200000</v>
      </c>
      <c r="K1890" s="488">
        <f t="shared" si="327"/>
        <v>8760</v>
      </c>
      <c r="L1890" s="469">
        <v>191240</v>
      </c>
      <c r="M1890" s="297">
        <v>556100</v>
      </c>
      <c r="N1890" s="297">
        <v>556100</v>
      </c>
    </row>
    <row r="1891" spans="1:14" s="20" customFormat="1">
      <c r="A1891" s="253"/>
      <c r="B1891" s="231"/>
      <c r="C1891" s="32" t="s">
        <v>47</v>
      </c>
      <c r="D1891" s="239">
        <v>22020504</v>
      </c>
      <c r="E1891" s="240" t="s">
        <v>897</v>
      </c>
      <c r="F1891" s="138">
        <v>213000</v>
      </c>
      <c r="G1891" s="297">
        <v>213000</v>
      </c>
      <c r="H1891" s="297"/>
      <c r="I1891" s="297"/>
      <c r="J1891" s="28">
        <v>213000</v>
      </c>
      <c r="K1891" s="488">
        <f t="shared" si="327"/>
        <v>9329.4</v>
      </c>
      <c r="L1891" s="469">
        <v>203670.6</v>
      </c>
      <c r="M1891" s="297">
        <v>213000</v>
      </c>
      <c r="N1891" s="297">
        <v>213000</v>
      </c>
    </row>
    <row r="1892" spans="1:14" s="20" customFormat="1">
      <c r="A1892" s="253"/>
      <c r="B1892" s="231"/>
      <c r="C1892" s="32" t="s">
        <v>47</v>
      </c>
      <c r="D1892" s="239">
        <v>22020709</v>
      </c>
      <c r="E1892" s="240" t="s">
        <v>771</v>
      </c>
      <c r="F1892" s="138">
        <v>300000</v>
      </c>
      <c r="G1892" s="297">
        <v>300000</v>
      </c>
      <c r="H1892" s="297"/>
      <c r="I1892" s="297"/>
      <c r="J1892" s="28">
        <v>300000</v>
      </c>
      <c r="K1892" s="488">
        <f t="shared" si="327"/>
        <v>13140</v>
      </c>
      <c r="L1892" s="469">
        <v>286860</v>
      </c>
      <c r="M1892" s="297">
        <v>300000</v>
      </c>
      <c r="N1892" s="297">
        <v>300000</v>
      </c>
    </row>
    <row r="1893" spans="1:14" s="20" customFormat="1">
      <c r="A1893" s="253"/>
      <c r="B1893" s="231"/>
      <c r="C1893" s="32" t="s">
        <v>47</v>
      </c>
      <c r="D1893" s="239">
        <v>22020803</v>
      </c>
      <c r="E1893" s="240" t="s">
        <v>748</v>
      </c>
      <c r="F1893" s="138">
        <v>168000</v>
      </c>
      <c r="G1893" s="297">
        <v>168000</v>
      </c>
      <c r="H1893" s="297"/>
      <c r="I1893" s="297"/>
      <c r="J1893" s="28">
        <v>168000</v>
      </c>
      <c r="K1893" s="488">
        <f t="shared" si="327"/>
        <v>7358.4</v>
      </c>
      <c r="L1893" s="469">
        <v>160641.60000000001</v>
      </c>
      <c r="M1893" s="297">
        <v>168000</v>
      </c>
      <c r="N1893" s="297">
        <v>168000</v>
      </c>
    </row>
    <row r="1894" spans="1:14" s="20" customFormat="1">
      <c r="A1894" s="253"/>
      <c r="B1894" s="231"/>
      <c r="C1894" s="32" t="s">
        <v>47</v>
      </c>
      <c r="D1894" s="239">
        <v>22020901</v>
      </c>
      <c r="E1894" s="240" t="s">
        <v>749</v>
      </c>
      <c r="F1894" s="138">
        <v>12000</v>
      </c>
      <c r="G1894" s="297">
        <v>12000</v>
      </c>
      <c r="H1894" s="297"/>
      <c r="I1894" s="297"/>
      <c r="J1894" s="28">
        <v>12000</v>
      </c>
      <c r="K1894" s="488">
        <f t="shared" si="327"/>
        <v>525.6</v>
      </c>
      <c r="L1894" s="469">
        <v>11474.400000000001</v>
      </c>
      <c r="M1894" s="297">
        <v>12000</v>
      </c>
      <c r="N1894" s="297">
        <v>12000</v>
      </c>
    </row>
    <row r="1895" spans="1:14" s="20" customFormat="1">
      <c r="A1895" s="253"/>
      <c r="B1895" s="231"/>
      <c r="C1895" s="32" t="s">
        <v>47</v>
      </c>
      <c r="D1895" s="239">
        <v>22021001</v>
      </c>
      <c r="E1895" s="240" t="s">
        <v>772</v>
      </c>
      <c r="F1895" s="138">
        <v>40000</v>
      </c>
      <c r="G1895" s="297">
        <v>40000</v>
      </c>
      <c r="H1895" s="297"/>
      <c r="I1895" s="297"/>
      <c r="J1895" s="28">
        <v>40000</v>
      </c>
      <c r="K1895" s="488">
        <f t="shared" si="327"/>
        <v>1752</v>
      </c>
      <c r="L1895" s="469">
        <v>38248</v>
      </c>
      <c r="M1895" s="297">
        <v>40000</v>
      </c>
      <c r="N1895" s="297">
        <v>40000</v>
      </c>
    </row>
    <row r="1896" spans="1:14" s="20" customFormat="1">
      <c r="A1896" s="253"/>
      <c r="B1896" s="231"/>
      <c r="C1896" s="32" t="s">
        <v>47</v>
      </c>
      <c r="D1896" s="239">
        <v>22021009</v>
      </c>
      <c r="E1896" s="240" t="s">
        <v>873</v>
      </c>
      <c r="F1896" s="138">
        <v>79000</v>
      </c>
      <c r="G1896" s="297">
        <v>300000</v>
      </c>
      <c r="H1896" s="297"/>
      <c r="I1896" s="297"/>
      <c r="J1896" s="28">
        <v>300000</v>
      </c>
      <c r="K1896" s="488">
        <f t="shared" si="327"/>
        <v>13140</v>
      </c>
      <c r="L1896" s="469">
        <v>286860</v>
      </c>
      <c r="M1896" s="297">
        <v>79000</v>
      </c>
      <c r="N1896" s="297">
        <v>79000</v>
      </c>
    </row>
    <row r="1897" spans="1:14" s="20" customFormat="1">
      <c r="A1897" s="253"/>
      <c r="B1897" s="231"/>
      <c r="C1897" s="32" t="s">
        <v>47</v>
      </c>
      <c r="D1897" s="239">
        <v>22021026</v>
      </c>
      <c r="E1897" s="240" t="s">
        <v>751</v>
      </c>
      <c r="F1897" s="138">
        <v>209200</v>
      </c>
      <c r="G1897" s="297">
        <v>0</v>
      </c>
      <c r="H1897" s="297"/>
      <c r="I1897" s="297"/>
      <c r="J1897" s="28">
        <v>0</v>
      </c>
      <c r="K1897" s="488">
        <f t="shared" si="327"/>
        <v>0</v>
      </c>
      <c r="L1897" s="469">
        <v>0</v>
      </c>
      <c r="M1897" s="297">
        <v>209200</v>
      </c>
      <c r="N1897" s="297">
        <v>209200</v>
      </c>
    </row>
    <row r="1898" spans="1:14" s="20" customFormat="1">
      <c r="A1898" s="238"/>
      <c r="B1898" s="231"/>
      <c r="C1898" s="30" t="s">
        <v>1837</v>
      </c>
      <c r="D1898" s="23"/>
      <c r="E1898" s="25"/>
      <c r="F1898" s="137">
        <f>SUM(F1879:F1897)</f>
        <v>8111150</v>
      </c>
      <c r="G1898" s="114">
        <f>SUM(G1879:G1897)</f>
        <v>4066000</v>
      </c>
      <c r="H1898" s="114">
        <f t="shared" ref="H1898:M1898" si="328">SUM(H1879:H1897)</f>
        <v>0</v>
      </c>
      <c r="I1898" s="114">
        <f t="shared" si="328"/>
        <v>0</v>
      </c>
      <c r="J1898" s="114">
        <f>SUM(J1879:J1897)</f>
        <v>4066000</v>
      </c>
      <c r="K1898" s="490">
        <f t="shared" si="327"/>
        <v>178090.8</v>
      </c>
      <c r="L1898" s="468">
        <f>SUM(L1879:L1897)</f>
        <v>3887909.2</v>
      </c>
      <c r="M1898" s="114">
        <f t="shared" si="328"/>
        <v>8111150</v>
      </c>
      <c r="N1898" s="114">
        <f>SUM(N1879:N1897)</f>
        <v>8111150</v>
      </c>
    </row>
    <row r="1899" spans="1:14" s="66" customFormat="1">
      <c r="A1899" s="238" t="s">
        <v>1784</v>
      </c>
      <c r="B1899" s="231" t="s">
        <v>1815</v>
      </c>
      <c r="C1899" s="30"/>
      <c r="D1899" s="23"/>
      <c r="E1899" s="25"/>
      <c r="F1899" s="137">
        <f>F1878+F1898</f>
        <v>43032784.760000005</v>
      </c>
      <c r="G1899" s="114">
        <f>G1878+G1898</f>
        <v>79906756.480000004</v>
      </c>
      <c r="H1899" s="114">
        <f t="shared" ref="H1899:M1899" si="329">H1878+H1898</f>
        <v>0</v>
      </c>
      <c r="I1899" s="114">
        <f t="shared" si="329"/>
        <v>0</v>
      </c>
      <c r="J1899" s="114">
        <f>J1878+J1898</f>
        <v>79906756.480000004</v>
      </c>
      <c r="K1899" s="490"/>
      <c r="L1899" s="468">
        <f>L1878+L1898</f>
        <v>79728665.680000007</v>
      </c>
      <c r="M1899" s="114">
        <f t="shared" si="329"/>
        <v>91535982.128000006</v>
      </c>
      <c r="N1899" s="114">
        <f>N1898+N1878</f>
        <v>99878465.340800002</v>
      </c>
    </row>
    <row r="1900" spans="1:14" s="20" customFormat="1" ht="21">
      <c r="A1900" s="252"/>
      <c r="B1900" s="443"/>
      <c r="C1900" s="228"/>
      <c r="D1900" s="229"/>
      <c r="E1900" s="230"/>
      <c r="F1900" s="215"/>
      <c r="G1900" s="296"/>
      <c r="H1900" s="296"/>
      <c r="I1900" s="296"/>
      <c r="J1900" s="28"/>
      <c r="K1900" s="488"/>
      <c r="L1900" s="468"/>
      <c r="M1900" s="296"/>
      <c r="N1900" s="296"/>
    </row>
    <row r="1901" spans="1:14" s="20" customFormat="1">
      <c r="A1901" s="238" t="s">
        <v>1038</v>
      </c>
      <c r="B1901" s="231" t="s">
        <v>1037</v>
      </c>
      <c r="C1901" s="32" t="s">
        <v>46</v>
      </c>
      <c r="D1901" s="239">
        <v>21010101</v>
      </c>
      <c r="E1901" s="135" t="s">
        <v>725</v>
      </c>
      <c r="F1901" s="138">
        <v>25310368.559999999</v>
      </c>
      <c r="G1901" s="297">
        <v>25310368.559999999</v>
      </c>
      <c r="H1901" s="297"/>
      <c r="I1901" s="297"/>
      <c r="J1901" s="28">
        <v>25310368.559999999</v>
      </c>
      <c r="K1901" s="488"/>
      <c r="L1901" s="467">
        <v>25310368.559999999</v>
      </c>
      <c r="M1901" s="297">
        <f>G1901*10%+G1901</f>
        <v>27841405.415999997</v>
      </c>
      <c r="N1901" s="297">
        <f>M1901*10%+M1901</f>
        <v>30625545.957599998</v>
      </c>
    </row>
    <row r="1902" spans="1:14" s="20" customFormat="1">
      <c r="A1902" s="238"/>
      <c r="B1902" s="231"/>
      <c r="C1902" s="30" t="s">
        <v>1836</v>
      </c>
      <c r="D1902" s="23"/>
      <c r="E1902" s="25"/>
      <c r="F1902" s="137">
        <f>SUM(F1901)</f>
        <v>25310368.559999999</v>
      </c>
      <c r="G1902" s="114">
        <f>SUM(G1901)</f>
        <v>25310368.559999999</v>
      </c>
      <c r="H1902" s="114">
        <f t="shared" ref="H1902:I1902" si="330">SUM(H1901)</f>
        <v>0</v>
      </c>
      <c r="I1902" s="114">
        <f t="shared" si="330"/>
        <v>0</v>
      </c>
      <c r="J1902" s="114">
        <f>SUM(J1901)</f>
        <v>25310368.559999999</v>
      </c>
      <c r="K1902" s="490"/>
      <c r="L1902" s="468">
        <f>SUM(L1901)</f>
        <v>25310368.559999999</v>
      </c>
      <c r="M1902" s="114">
        <f>SUM(M1901)</f>
        <v>27841405.415999997</v>
      </c>
      <c r="N1902" s="114">
        <f>SUM(N1901)</f>
        <v>30625545.957599998</v>
      </c>
    </row>
    <row r="1903" spans="1:14" s="20" customFormat="1">
      <c r="A1903" s="253"/>
      <c r="B1903" s="231"/>
      <c r="C1903" s="32" t="s">
        <v>47</v>
      </c>
      <c r="D1903" s="239">
        <v>22020105</v>
      </c>
      <c r="E1903" s="135" t="s">
        <v>1733</v>
      </c>
      <c r="F1903" s="138">
        <v>26000</v>
      </c>
      <c r="G1903" s="297">
        <f>26000+500000</f>
        <v>526000</v>
      </c>
      <c r="H1903" s="297"/>
      <c r="I1903" s="297"/>
      <c r="J1903" s="28">
        <v>526000</v>
      </c>
      <c r="K1903" s="488">
        <f>J1903*4.38%</f>
        <v>23038.799999999999</v>
      </c>
      <c r="L1903" s="469">
        <v>502961.2</v>
      </c>
      <c r="M1903" s="297">
        <v>26000</v>
      </c>
      <c r="N1903" s="297">
        <v>26000</v>
      </c>
    </row>
    <row r="1904" spans="1:14" s="20" customFormat="1">
      <c r="A1904" s="253"/>
      <c r="B1904" s="231"/>
      <c r="C1904" s="32" t="s">
        <v>47</v>
      </c>
      <c r="D1904" s="239">
        <v>22020108</v>
      </c>
      <c r="E1904" s="135" t="s">
        <v>812</v>
      </c>
      <c r="F1904" s="138">
        <v>40000</v>
      </c>
      <c r="G1904" s="297">
        <v>40000</v>
      </c>
      <c r="H1904" s="297"/>
      <c r="I1904" s="297"/>
      <c r="J1904" s="28">
        <v>40000</v>
      </c>
      <c r="K1904" s="488">
        <f t="shared" ref="K1904:K1917" si="331">J1904*4.38%</f>
        <v>1752</v>
      </c>
      <c r="L1904" s="469">
        <v>38248</v>
      </c>
      <c r="M1904" s="297">
        <v>40000</v>
      </c>
      <c r="N1904" s="297">
        <v>40000</v>
      </c>
    </row>
    <row r="1905" spans="1:14" s="20" customFormat="1">
      <c r="A1905" s="253"/>
      <c r="B1905" s="231"/>
      <c r="C1905" s="32" t="s">
        <v>47</v>
      </c>
      <c r="D1905" s="239">
        <v>22020114</v>
      </c>
      <c r="E1905" s="135" t="s">
        <v>830</v>
      </c>
      <c r="F1905" s="138">
        <v>227780</v>
      </c>
      <c r="G1905" s="297">
        <v>227780</v>
      </c>
      <c r="H1905" s="297"/>
      <c r="I1905" s="297"/>
      <c r="J1905" s="28">
        <v>227780</v>
      </c>
      <c r="K1905" s="488">
        <f t="shared" si="331"/>
        <v>9976.7639999999992</v>
      </c>
      <c r="L1905" s="469">
        <v>217803.236</v>
      </c>
      <c r="M1905" s="297">
        <v>227780</v>
      </c>
      <c r="N1905" s="297">
        <v>227780</v>
      </c>
    </row>
    <row r="1906" spans="1:14" s="20" customFormat="1">
      <c r="A1906" s="253"/>
      <c r="B1906" s="231"/>
      <c r="C1906" s="32" t="s">
        <v>47</v>
      </c>
      <c r="D1906" s="239">
        <v>22020305</v>
      </c>
      <c r="E1906" s="135" t="s">
        <v>755</v>
      </c>
      <c r="F1906" s="138">
        <v>57500</v>
      </c>
      <c r="G1906" s="297">
        <v>57500</v>
      </c>
      <c r="H1906" s="297"/>
      <c r="I1906" s="297"/>
      <c r="J1906" s="28">
        <v>57500</v>
      </c>
      <c r="K1906" s="488">
        <f t="shared" si="331"/>
        <v>2518.5</v>
      </c>
      <c r="L1906" s="469">
        <v>54981.5</v>
      </c>
      <c r="M1906" s="297">
        <v>57500</v>
      </c>
      <c r="N1906" s="297">
        <v>57500</v>
      </c>
    </row>
    <row r="1907" spans="1:14" s="20" customFormat="1">
      <c r="A1907" s="253"/>
      <c r="B1907" s="231"/>
      <c r="C1907" s="32" t="s">
        <v>47</v>
      </c>
      <c r="D1907" s="239">
        <v>22020307</v>
      </c>
      <c r="E1907" s="135" t="s">
        <v>822</v>
      </c>
      <c r="F1907" s="138">
        <v>353700</v>
      </c>
      <c r="G1907" s="297">
        <v>353700</v>
      </c>
      <c r="H1907" s="297"/>
      <c r="I1907" s="297"/>
      <c r="J1907" s="28">
        <v>353700</v>
      </c>
      <c r="K1907" s="488">
        <f t="shared" si="331"/>
        <v>15492.06</v>
      </c>
      <c r="L1907" s="469">
        <v>338207.94</v>
      </c>
      <c r="M1907" s="297">
        <v>353700</v>
      </c>
      <c r="N1907" s="297">
        <v>353700</v>
      </c>
    </row>
    <row r="1908" spans="1:14" s="20" customFormat="1">
      <c r="A1908" s="253"/>
      <c r="B1908" s="231"/>
      <c r="C1908" s="32" t="s">
        <v>47</v>
      </c>
      <c r="D1908" s="239">
        <v>22020310</v>
      </c>
      <c r="E1908" s="135" t="s">
        <v>819</v>
      </c>
      <c r="F1908" s="138">
        <v>307150</v>
      </c>
      <c r="G1908" s="297">
        <f>307150+300000</f>
        <v>607150</v>
      </c>
      <c r="H1908" s="297"/>
      <c r="I1908" s="297"/>
      <c r="J1908" s="28">
        <v>607150</v>
      </c>
      <c r="K1908" s="488">
        <f t="shared" si="331"/>
        <v>26593.17</v>
      </c>
      <c r="L1908" s="469">
        <v>580556.83000000007</v>
      </c>
      <c r="M1908" s="297">
        <v>307150</v>
      </c>
      <c r="N1908" s="297">
        <v>307150</v>
      </c>
    </row>
    <row r="1909" spans="1:14" s="20" customFormat="1">
      <c r="A1909" s="253"/>
      <c r="B1909" s="231"/>
      <c r="C1909" s="32" t="s">
        <v>47</v>
      </c>
      <c r="D1909" s="239">
        <v>22020417</v>
      </c>
      <c r="E1909" s="135" t="s">
        <v>997</v>
      </c>
      <c r="F1909" s="138">
        <v>25250</v>
      </c>
      <c r="G1909" s="297">
        <f>25250+200000</f>
        <v>225250</v>
      </c>
      <c r="H1909" s="297"/>
      <c r="I1909" s="297"/>
      <c r="J1909" s="28">
        <v>225250</v>
      </c>
      <c r="K1909" s="488">
        <f t="shared" si="331"/>
        <v>9865.9499999999989</v>
      </c>
      <c r="L1909" s="469">
        <v>215384.05000000002</v>
      </c>
      <c r="M1909" s="297">
        <v>25250</v>
      </c>
      <c r="N1909" s="297">
        <v>25250</v>
      </c>
    </row>
    <row r="1910" spans="1:14" s="20" customFormat="1">
      <c r="A1910" s="253"/>
      <c r="B1910" s="231"/>
      <c r="C1910" s="32" t="s">
        <v>47</v>
      </c>
      <c r="D1910" s="239">
        <v>22020601</v>
      </c>
      <c r="E1910" s="135" t="s">
        <v>766</v>
      </c>
      <c r="F1910" s="138">
        <v>75000</v>
      </c>
      <c r="G1910" s="297">
        <v>75000</v>
      </c>
      <c r="H1910" s="297"/>
      <c r="I1910" s="297"/>
      <c r="J1910" s="28">
        <v>75000</v>
      </c>
      <c r="K1910" s="488">
        <f t="shared" si="331"/>
        <v>3285</v>
      </c>
      <c r="L1910" s="469">
        <v>71715</v>
      </c>
      <c r="M1910" s="297">
        <v>75000</v>
      </c>
      <c r="N1910" s="297">
        <v>75000</v>
      </c>
    </row>
    <row r="1911" spans="1:14" s="20" customFormat="1">
      <c r="A1911" s="253"/>
      <c r="B1911" s="231"/>
      <c r="C1911" s="32" t="s">
        <v>47</v>
      </c>
      <c r="D1911" s="239">
        <v>22020605</v>
      </c>
      <c r="E1911" s="135" t="s">
        <v>768</v>
      </c>
      <c r="F1911" s="138">
        <v>88500</v>
      </c>
      <c r="G1911" s="297">
        <v>88500</v>
      </c>
      <c r="H1911" s="297"/>
      <c r="I1911" s="297"/>
      <c r="J1911" s="28">
        <v>88500</v>
      </c>
      <c r="K1911" s="488">
        <f t="shared" si="331"/>
        <v>3876.2999999999997</v>
      </c>
      <c r="L1911" s="469">
        <v>84623.700000000012</v>
      </c>
      <c r="M1911" s="297">
        <v>88500</v>
      </c>
      <c r="N1911" s="297">
        <v>88500</v>
      </c>
    </row>
    <row r="1912" spans="1:14" s="20" customFormat="1">
      <c r="A1912" s="253"/>
      <c r="B1912" s="231"/>
      <c r="C1912" s="32" t="s">
        <v>47</v>
      </c>
      <c r="D1912" s="239">
        <v>22020803</v>
      </c>
      <c r="E1912" s="135" t="s">
        <v>748</v>
      </c>
      <c r="F1912" s="138">
        <v>73775</v>
      </c>
      <c r="G1912" s="297">
        <f>73775+195400</f>
        <v>269175</v>
      </c>
      <c r="H1912" s="297"/>
      <c r="I1912" s="297"/>
      <c r="J1912" s="28">
        <v>269175</v>
      </c>
      <c r="K1912" s="488">
        <f t="shared" si="331"/>
        <v>11789.865</v>
      </c>
      <c r="L1912" s="469">
        <v>257385.13500000001</v>
      </c>
      <c r="M1912" s="297">
        <v>73775</v>
      </c>
      <c r="N1912" s="297">
        <v>73775</v>
      </c>
    </row>
    <row r="1913" spans="1:14" s="20" customFormat="1">
      <c r="A1913" s="253"/>
      <c r="B1913" s="231"/>
      <c r="C1913" s="32" t="s">
        <v>47</v>
      </c>
      <c r="D1913" s="239">
        <v>22021001</v>
      </c>
      <c r="E1913" s="135" t="s">
        <v>772</v>
      </c>
      <c r="F1913" s="138">
        <v>398750</v>
      </c>
      <c r="G1913" s="297">
        <v>398750</v>
      </c>
      <c r="H1913" s="297"/>
      <c r="I1913" s="297"/>
      <c r="J1913" s="28">
        <v>398750</v>
      </c>
      <c r="K1913" s="488">
        <f t="shared" si="331"/>
        <v>17465.25</v>
      </c>
      <c r="L1913" s="469">
        <v>381284.75</v>
      </c>
      <c r="M1913" s="297">
        <v>398750</v>
      </c>
      <c r="N1913" s="297">
        <v>398750</v>
      </c>
    </row>
    <row r="1914" spans="1:14" s="20" customFormat="1">
      <c r="A1914" s="253"/>
      <c r="B1914" s="231"/>
      <c r="C1914" s="32" t="s">
        <v>47</v>
      </c>
      <c r="D1914" s="239">
        <v>22021003</v>
      </c>
      <c r="E1914" s="135" t="s">
        <v>760</v>
      </c>
      <c r="F1914" s="138">
        <v>49500</v>
      </c>
      <c r="G1914" s="297">
        <v>49500</v>
      </c>
      <c r="H1914" s="297"/>
      <c r="I1914" s="297"/>
      <c r="J1914" s="28">
        <v>49500</v>
      </c>
      <c r="K1914" s="488">
        <f t="shared" si="331"/>
        <v>2168.1</v>
      </c>
      <c r="L1914" s="469">
        <v>47331.9</v>
      </c>
      <c r="M1914" s="297">
        <v>49500</v>
      </c>
      <c r="N1914" s="297">
        <v>49500</v>
      </c>
    </row>
    <row r="1915" spans="1:14" s="20" customFormat="1">
      <c r="A1915" s="253"/>
      <c r="B1915" s="231"/>
      <c r="C1915" s="32" t="s">
        <v>47</v>
      </c>
      <c r="D1915" s="239">
        <v>22021004</v>
      </c>
      <c r="E1915" s="135" t="s">
        <v>854</v>
      </c>
      <c r="F1915" s="138">
        <v>203100</v>
      </c>
      <c r="G1915" s="297">
        <v>203100</v>
      </c>
      <c r="H1915" s="297"/>
      <c r="I1915" s="297"/>
      <c r="J1915" s="28">
        <v>203100</v>
      </c>
      <c r="K1915" s="488">
        <f t="shared" si="331"/>
        <v>8895.7799999999988</v>
      </c>
      <c r="L1915" s="469">
        <v>194204.22</v>
      </c>
      <c r="M1915" s="297">
        <v>203100</v>
      </c>
      <c r="N1915" s="297">
        <v>203100</v>
      </c>
    </row>
    <row r="1916" spans="1:14" s="20" customFormat="1">
      <c r="A1916" s="253"/>
      <c r="B1916" s="231"/>
      <c r="C1916" s="32" t="s">
        <v>47</v>
      </c>
      <c r="D1916" s="239">
        <v>22021009</v>
      </c>
      <c r="E1916" s="135" t="s">
        <v>873</v>
      </c>
      <c r="F1916" s="138">
        <v>1195400</v>
      </c>
      <c r="G1916" s="297">
        <v>300000</v>
      </c>
      <c r="H1916" s="297"/>
      <c r="I1916" s="297"/>
      <c r="J1916" s="28">
        <v>300000</v>
      </c>
      <c r="K1916" s="488">
        <f t="shared" si="331"/>
        <v>13140</v>
      </c>
      <c r="L1916" s="469">
        <v>286860</v>
      </c>
      <c r="M1916" s="297">
        <v>1195400</v>
      </c>
      <c r="N1916" s="297">
        <v>1195400</v>
      </c>
    </row>
    <row r="1917" spans="1:14" s="20" customFormat="1">
      <c r="A1917" s="238"/>
      <c r="B1917" s="231"/>
      <c r="C1917" s="30" t="s">
        <v>1839</v>
      </c>
      <c r="D1917" s="23"/>
      <c r="E1917" s="25"/>
      <c r="F1917" s="137">
        <f>SUM(F1903:F1916)</f>
        <v>3121405</v>
      </c>
      <c r="G1917" s="114">
        <f>SUM(G1903:G1916)</f>
        <v>3421405</v>
      </c>
      <c r="H1917" s="114">
        <f t="shared" ref="H1917:M1917" si="332">SUM(H1903:H1916)</f>
        <v>0</v>
      </c>
      <c r="I1917" s="114">
        <f t="shared" si="332"/>
        <v>0</v>
      </c>
      <c r="J1917" s="114">
        <f>SUM(J1903:J1916)</f>
        <v>3421405</v>
      </c>
      <c r="K1917" s="490">
        <f t="shared" si="331"/>
        <v>149857.53899999999</v>
      </c>
      <c r="L1917" s="468">
        <f>SUM(L1903:L1916)</f>
        <v>3271547.4610000001</v>
      </c>
      <c r="M1917" s="114">
        <f t="shared" si="332"/>
        <v>3121405</v>
      </c>
      <c r="N1917" s="114">
        <f>SUM(N1903:N1916)</f>
        <v>3121405</v>
      </c>
    </row>
    <row r="1918" spans="1:14" s="66" customFormat="1" ht="30">
      <c r="A1918" s="238" t="s">
        <v>1038</v>
      </c>
      <c r="B1918" s="231" t="s">
        <v>1816</v>
      </c>
      <c r="C1918" s="30"/>
      <c r="D1918" s="23"/>
      <c r="E1918" s="25"/>
      <c r="F1918" s="137">
        <f>F1917+F1902</f>
        <v>28431773.559999999</v>
      </c>
      <c r="G1918" s="114">
        <f>G1917+G1902</f>
        <v>28731773.559999999</v>
      </c>
      <c r="H1918" s="114">
        <f t="shared" ref="H1918:M1918" si="333">H1917+H1902</f>
        <v>0</v>
      </c>
      <c r="I1918" s="114">
        <f t="shared" si="333"/>
        <v>0</v>
      </c>
      <c r="J1918" s="114">
        <f>J1917+J1902</f>
        <v>28731773.559999999</v>
      </c>
      <c r="K1918" s="490"/>
      <c r="L1918" s="468">
        <f>L1917+L1902</f>
        <v>28581916.020999998</v>
      </c>
      <c r="M1918" s="114">
        <f t="shared" si="333"/>
        <v>30962810.415999997</v>
      </c>
      <c r="N1918" s="114">
        <f>N1917+N1902</f>
        <v>33746950.957599998</v>
      </c>
    </row>
    <row r="1919" spans="1:14" s="20" customFormat="1" ht="21">
      <c r="A1919" s="252"/>
      <c r="B1919" s="443"/>
      <c r="C1919" s="228"/>
      <c r="D1919" s="229"/>
      <c r="E1919" s="230"/>
      <c r="F1919" s="215"/>
      <c r="G1919" s="296"/>
      <c r="H1919" s="296"/>
      <c r="I1919" s="296"/>
      <c r="J1919" s="28"/>
      <c r="K1919" s="488"/>
      <c r="L1919" s="468"/>
      <c r="M1919" s="296"/>
      <c r="N1919" s="296"/>
    </row>
    <row r="1920" spans="1:14" s="20" customFormat="1">
      <c r="A1920" s="238" t="s">
        <v>1039</v>
      </c>
      <c r="B1920" s="231" t="s">
        <v>138</v>
      </c>
      <c r="C1920" s="32" t="s">
        <v>46</v>
      </c>
      <c r="D1920" s="239">
        <v>21010101</v>
      </c>
      <c r="E1920" s="135" t="s">
        <v>725</v>
      </c>
      <c r="F1920" s="138">
        <v>25653555.48</v>
      </c>
      <c r="G1920" s="297">
        <v>25653555.48</v>
      </c>
      <c r="H1920" s="297"/>
      <c r="I1920" s="297"/>
      <c r="J1920" s="28">
        <v>25653555.48</v>
      </c>
      <c r="K1920" s="488"/>
      <c r="L1920" s="467">
        <v>25653555.48</v>
      </c>
      <c r="M1920" s="297">
        <f>G1920*10%+G1920</f>
        <v>28218911.028000001</v>
      </c>
      <c r="N1920" s="297">
        <f>M1920*10%+M1920</f>
        <v>31040802.130800001</v>
      </c>
    </row>
    <row r="1921" spans="1:14" s="20" customFormat="1">
      <c r="A1921" s="238"/>
      <c r="B1921" s="231"/>
      <c r="C1921" s="30" t="s">
        <v>1836</v>
      </c>
      <c r="D1921" s="23"/>
      <c r="E1921" s="25"/>
      <c r="F1921" s="137">
        <f>SUM(F1920)</f>
        <v>25653555.48</v>
      </c>
      <c r="G1921" s="114">
        <f>SUM(G1920)</f>
        <v>25653555.48</v>
      </c>
      <c r="H1921" s="114">
        <f t="shared" ref="H1921:I1921" si="334">SUM(H1920)</f>
        <v>0</v>
      </c>
      <c r="I1921" s="114">
        <f t="shared" si="334"/>
        <v>0</v>
      </c>
      <c r="J1921" s="114">
        <f>SUM(J1920)</f>
        <v>25653555.48</v>
      </c>
      <c r="K1921" s="490"/>
      <c r="L1921" s="468">
        <f>SUM(L1920)</f>
        <v>25653555.48</v>
      </c>
      <c r="M1921" s="114">
        <f>SUM(M1920)</f>
        <v>28218911.028000001</v>
      </c>
      <c r="N1921" s="114">
        <f>SUM(N1920)</f>
        <v>31040802.130800001</v>
      </c>
    </row>
    <row r="1922" spans="1:14" s="20" customFormat="1">
      <c r="A1922" s="253"/>
      <c r="B1922" s="231"/>
      <c r="C1922" s="32" t="s">
        <v>47</v>
      </c>
      <c r="D1922" s="239">
        <v>22020105</v>
      </c>
      <c r="E1922" s="135" t="s">
        <v>1733</v>
      </c>
      <c r="F1922" s="138">
        <v>3904000</v>
      </c>
      <c r="G1922" s="297">
        <v>3904000</v>
      </c>
      <c r="H1922" s="297"/>
      <c r="I1922" s="297"/>
      <c r="J1922" s="28">
        <v>3904000</v>
      </c>
      <c r="K1922" s="488">
        <f>J1922*4.38%</f>
        <v>170995.19999999998</v>
      </c>
      <c r="L1922" s="469">
        <v>3733004.8000000003</v>
      </c>
      <c r="M1922" s="297">
        <v>23904000</v>
      </c>
      <c r="N1922" s="297">
        <v>23904000</v>
      </c>
    </row>
    <row r="1923" spans="1:14" s="20" customFormat="1">
      <c r="A1923" s="253"/>
      <c r="B1923" s="231"/>
      <c r="C1923" s="32" t="s">
        <v>47</v>
      </c>
      <c r="D1923" s="239">
        <v>22020201</v>
      </c>
      <c r="E1923" s="135" t="s">
        <v>849</v>
      </c>
      <c r="F1923" s="138">
        <v>120000</v>
      </c>
      <c r="G1923" s="297">
        <v>120000</v>
      </c>
      <c r="H1923" s="297"/>
      <c r="I1923" s="297"/>
      <c r="J1923" s="28">
        <v>120000</v>
      </c>
      <c r="K1923" s="488">
        <f t="shared" ref="K1923:K1940" si="335">J1923*4.38%</f>
        <v>5256</v>
      </c>
      <c r="L1923" s="469">
        <v>114744</v>
      </c>
      <c r="M1923" s="297">
        <v>120000</v>
      </c>
      <c r="N1923" s="297">
        <v>120000</v>
      </c>
    </row>
    <row r="1924" spans="1:14" s="20" customFormat="1">
      <c r="A1924" s="253"/>
      <c r="B1924" s="231"/>
      <c r="C1924" s="32" t="s">
        <v>47</v>
      </c>
      <c r="D1924" s="239">
        <v>22020301</v>
      </c>
      <c r="E1924" s="135" t="s">
        <v>737</v>
      </c>
      <c r="F1924" s="138">
        <v>2281000</v>
      </c>
      <c r="G1924" s="297">
        <v>2281000</v>
      </c>
      <c r="H1924" s="297"/>
      <c r="I1924" s="297"/>
      <c r="J1924" s="28">
        <v>2281000</v>
      </c>
      <c r="K1924" s="488">
        <f t="shared" si="335"/>
        <v>99907.8</v>
      </c>
      <c r="L1924" s="469">
        <v>2181092.2000000002</v>
      </c>
      <c r="M1924" s="297">
        <v>5281000</v>
      </c>
      <c r="N1924" s="297">
        <v>5281000</v>
      </c>
    </row>
    <row r="1925" spans="1:14" s="20" customFormat="1">
      <c r="A1925" s="253"/>
      <c r="B1925" s="231"/>
      <c r="C1925" s="32" t="s">
        <v>47</v>
      </c>
      <c r="D1925" s="239">
        <v>22020305</v>
      </c>
      <c r="E1925" s="135" t="s">
        <v>755</v>
      </c>
      <c r="F1925" s="138">
        <v>2000000</v>
      </c>
      <c r="G1925" s="297">
        <v>2000000</v>
      </c>
      <c r="H1925" s="297"/>
      <c r="I1925" s="297"/>
      <c r="J1925" s="28">
        <v>2000000</v>
      </c>
      <c r="K1925" s="488">
        <f t="shared" si="335"/>
        <v>87600</v>
      </c>
      <c r="L1925" s="469">
        <v>1912400</v>
      </c>
      <c r="M1925" s="297">
        <v>4000000</v>
      </c>
      <c r="N1925" s="297">
        <v>4000000</v>
      </c>
    </row>
    <row r="1926" spans="1:14" s="20" customFormat="1">
      <c r="A1926" s="253"/>
      <c r="B1926" s="231"/>
      <c r="C1926" s="32" t="s">
        <v>47</v>
      </c>
      <c r="D1926" s="239">
        <v>22020315</v>
      </c>
      <c r="E1926" s="135" t="s">
        <v>740</v>
      </c>
      <c r="F1926" s="138">
        <v>749000</v>
      </c>
      <c r="G1926" s="297">
        <v>749000</v>
      </c>
      <c r="H1926" s="297"/>
      <c r="I1926" s="297"/>
      <c r="J1926" s="28">
        <v>749000</v>
      </c>
      <c r="K1926" s="488">
        <f t="shared" si="335"/>
        <v>32806.199999999997</v>
      </c>
      <c r="L1926" s="469">
        <v>716193.8</v>
      </c>
      <c r="M1926" s="297">
        <v>749000</v>
      </c>
      <c r="N1926" s="297">
        <v>749000</v>
      </c>
    </row>
    <row r="1927" spans="1:14" s="20" customFormat="1">
      <c r="A1927" s="253"/>
      <c r="B1927" s="231"/>
      <c r="C1927" s="32" t="s">
        <v>47</v>
      </c>
      <c r="D1927" s="239">
        <v>22020401</v>
      </c>
      <c r="E1927" s="135" t="s">
        <v>741</v>
      </c>
      <c r="F1927" s="138">
        <v>372000</v>
      </c>
      <c r="G1927" s="297">
        <v>372000</v>
      </c>
      <c r="H1927" s="297"/>
      <c r="I1927" s="297"/>
      <c r="J1927" s="28">
        <v>372000</v>
      </c>
      <c r="K1927" s="488">
        <f t="shared" si="335"/>
        <v>16293.6</v>
      </c>
      <c r="L1927" s="469">
        <v>355706.4</v>
      </c>
      <c r="M1927" s="297">
        <v>372000</v>
      </c>
      <c r="N1927" s="297">
        <v>372000</v>
      </c>
    </row>
    <row r="1928" spans="1:14" s="20" customFormat="1">
      <c r="A1928" s="253"/>
      <c r="B1928" s="231"/>
      <c r="C1928" s="32" t="s">
        <v>47</v>
      </c>
      <c r="D1928" s="239">
        <v>22020402</v>
      </c>
      <c r="E1928" s="135" t="s">
        <v>757</v>
      </c>
      <c r="F1928" s="138">
        <v>70000</v>
      </c>
      <c r="G1928" s="297">
        <v>70000</v>
      </c>
      <c r="H1928" s="297"/>
      <c r="I1928" s="297"/>
      <c r="J1928" s="28">
        <v>70000</v>
      </c>
      <c r="K1928" s="488">
        <f t="shared" si="335"/>
        <v>3066</v>
      </c>
      <c r="L1928" s="469">
        <v>66934</v>
      </c>
      <c r="M1928" s="297">
        <v>70000</v>
      </c>
      <c r="N1928" s="297">
        <v>70000</v>
      </c>
    </row>
    <row r="1929" spans="1:14" s="20" customFormat="1">
      <c r="A1929" s="253"/>
      <c r="B1929" s="231"/>
      <c r="C1929" s="32" t="s">
        <v>47</v>
      </c>
      <c r="D1929" s="239">
        <v>22020405</v>
      </c>
      <c r="E1929" s="135" t="s">
        <v>743</v>
      </c>
      <c r="F1929" s="138">
        <v>80000</v>
      </c>
      <c r="G1929" s="297">
        <v>80000</v>
      </c>
      <c r="H1929" s="297"/>
      <c r="I1929" s="297"/>
      <c r="J1929" s="28">
        <v>80000</v>
      </c>
      <c r="K1929" s="488">
        <f t="shared" si="335"/>
        <v>3504</v>
      </c>
      <c r="L1929" s="469">
        <v>76496</v>
      </c>
      <c r="M1929" s="297">
        <v>80000</v>
      </c>
      <c r="N1929" s="297">
        <v>80000</v>
      </c>
    </row>
    <row r="1930" spans="1:14" s="20" customFormat="1">
      <c r="A1930" s="253"/>
      <c r="B1930" s="231"/>
      <c r="C1930" s="32" t="s">
        <v>47</v>
      </c>
      <c r="D1930" s="239">
        <v>22020416</v>
      </c>
      <c r="E1930" s="135" t="s">
        <v>782</v>
      </c>
      <c r="F1930" s="138">
        <v>243000</v>
      </c>
      <c r="G1930" s="297">
        <v>243000</v>
      </c>
      <c r="H1930" s="297"/>
      <c r="I1930" s="297"/>
      <c r="J1930" s="28">
        <v>243000</v>
      </c>
      <c r="K1930" s="488">
        <f t="shared" si="335"/>
        <v>10643.4</v>
      </c>
      <c r="L1930" s="469">
        <v>232356.6</v>
      </c>
      <c r="M1930" s="297">
        <v>243000</v>
      </c>
      <c r="N1930" s="297">
        <v>243000</v>
      </c>
    </row>
    <row r="1931" spans="1:14" s="20" customFormat="1">
      <c r="A1931" s="253"/>
      <c r="B1931" s="231"/>
      <c r="C1931" s="32" t="s">
        <v>47</v>
      </c>
      <c r="D1931" s="239">
        <v>22020709</v>
      </c>
      <c r="E1931" s="135" t="s">
        <v>771</v>
      </c>
      <c r="F1931" s="138">
        <v>350000</v>
      </c>
      <c r="G1931" s="297">
        <v>350000</v>
      </c>
      <c r="H1931" s="297"/>
      <c r="I1931" s="297"/>
      <c r="J1931" s="28">
        <v>350000</v>
      </c>
      <c r="K1931" s="488">
        <f t="shared" si="335"/>
        <v>15330</v>
      </c>
      <c r="L1931" s="469">
        <v>334670</v>
      </c>
      <c r="M1931" s="297">
        <v>350000</v>
      </c>
      <c r="N1931" s="297">
        <v>350000</v>
      </c>
    </row>
    <row r="1932" spans="1:14" s="20" customFormat="1">
      <c r="A1932" s="253"/>
      <c r="B1932" s="231"/>
      <c r="C1932" s="32" t="s">
        <v>47</v>
      </c>
      <c r="D1932" s="239">
        <v>22020801</v>
      </c>
      <c r="E1932" s="135" t="s">
        <v>747</v>
      </c>
      <c r="F1932" s="138">
        <v>2350000</v>
      </c>
      <c r="G1932" s="297">
        <v>2350000</v>
      </c>
      <c r="H1932" s="297"/>
      <c r="I1932" s="297"/>
      <c r="J1932" s="28">
        <v>2350000</v>
      </c>
      <c r="K1932" s="488">
        <f t="shared" si="335"/>
        <v>102930</v>
      </c>
      <c r="L1932" s="469">
        <v>2247070</v>
      </c>
      <c r="M1932" s="297">
        <v>2350000</v>
      </c>
      <c r="N1932" s="297">
        <v>2350000</v>
      </c>
    </row>
    <row r="1933" spans="1:14" s="20" customFormat="1">
      <c r="A1933" s="253"/>
      <c r="B1933" s="231"/>
      <c r="C1933" s="32" t="s">
        <v>47</v>
      </c>
      <c r="D1933" s="239">
        <v>22020803</v>
      </c>
      <c r="E1933" s="135" t="s">
        <v>748</v>
      </c>
      <c r="F1933" s="138">
        <v>240000</v>
      </c>
      <c r="G1933" s="297">
        <v>240000</v>
      </c>
      <c r="H1933" s="297"/>
      <c r="I1933" s="297"/>
      <c r="J1933" s="28">
        <v>240000</v>
      </c>
      <c r="K1933" s="488">
        <f t="shared" si="335"/>
        <v>10512</v>
      </c>
      <c r="L1933" s="469">
        <v>229488</v>
      </c>
      <c r="M1933" s="297">
        <v>240000</v>
      </c>
      <c r="N1933" s="297">
        <v>240000</v>
      </c>
    </row>
    <row r="1934" spans="1:14" s="20" customFormat="1">
      <c r="A1934" s="253"/>
      <c r="B1934" s="231"/>
      <c r="C1934" s="32" t="s">
        <v>47</v>
      </c>
      <c r="D1934" s="239">
        <v>22020901</v>
      </c>
      <c r="E1934" s="135" t="s">
        <v>749</v>
      </c>
      <c r="F1934" s="138">
        <v>3000</v>
      </c>
      <c r="G1934" s="297">
        <v>3000</v>
      </c>
      <c r="H1934" s="297"/>
      <c r="I1934" s="297"/>
      <c r="J1934" s="28">
        <v>3000</v>
      </c>
      <c r="K1934" s="488">
        <f t="shared" si="335"/>
        <v>131.4</v>
      </c>
      <c r="L1934" s="469">
        <v>2868.6000000000004</v>
      </c>
      <c r="M1934" s="297">
        <v>3000</v>
      </c>
      <c r="N1934" s="297">
        <v>3000</v>
      </c>
    </row>
    <row r="1935" spans="1:14" s="20" customFormat="1">
      <c r="A1935" s="253"/>
      <c r="B1935" s="231"/>
      <c r="C1935" s="32" t="s">
        <v>47</v>
      </c>
      <c r="D1935" s="239">
        <v>22021001</v>
      </c>
      <c r="E1935" s="135" t="s">
        <v>772</v>
      </c>
      <c r="F1935" s="138">
        <v>620600</v>
      </c>
      <c r="G1935" s="297">
        <v>620600</v>
      </c>
      <c r="H1935" s="297"/>
      <c r="I1935" s="297"/>
      <c r="J1935" s="28">
        <v>620600</v>
      </c>
      <c r="K1935" s="488">
        <f t="shared" si="335"/>
        <v>27182.28</v>
      </c>
      <c r="L1935" s="469">
        <v>593417.72000000009</v>
      </c>
      <c r="M1935" s="297">
        <v>3620600</v>
      </c>
      <c r="N1935" s="297">
        <v>3620600</v>
      </c>
    </row>
    <row r="1936" spans="1:14" s="20" customFormat="1">
      <c r="A1936" s="253"/>
      <c r="B1936" s="231"/>
      <c r="C1936" s="32" t="s">
        <v>47</v>
      </c>
      <c r="D1936" s="239">
        <v>22021003</v>
      </c>
      <c r="E1936" s="135" t="s">
        <v>760</v>
      </c>
      <c r="F1936" s="138">
        <v>1558000</v>
      </c>
      <c r="G1936" s="297">
        <v>1558000</v>
      </c>
      <c r="H1936" s="297"/>
      <c r="I1936" s="297"/>
      <c r="J1936" s="28">
        <v>1558000</v>
      </c>
      <c r="K1936" s="488">
        <f t="shared" si="335"/>
        <v>68240.399999999994</v>
      </c>
      <c r="L1936" s="469">
        <v>1489759.6</v>
      </c>
      <c r="M1936" s="297">
        <v>1558000</v>
      </c>
      <c r="N1936" s="297">
        <v>1558000</v>
      </c>
    </row>
    <row r="1937" spans="1:14" s="20" customFormat="1">
      <c r="A1937" s="253"/>
      <c r="B1937" s="231"/>
      <c r="C1937" s="32" t="s">
        <v>47</v>
      </c>
      <c r="D1937" s="239">
        <v>22021011</v>
      </c>
      <c r="E1937" s="135" t="s">
        <v>881</v>
      </c>
      <c r="F1937" s="138">
        <v>400000</v>
      </c>
      <c r="G1937" s="297">
        <v>400000</v>
      </c>
      <c r="H1937" s="297"/>
      <c r="I1937" s="297"/>
      <c r="J1937" s="28">
        <v>400000</v>
      </c>
      <c r="K1937" s="488">
        <f t="shared" si="335"/>
        <v>17520</v>
      </c>
      <c r="L1937" s="469">
        <v>382480</v>
      </c>
      <c r="M1937" s="297">
        <v>400000</v>
      </c>
      <c r="N1937" s="297">
        <v>400000</v>
      </c>
    </row>
    <row r="1938" spans="1:14" s="20" customFormat="1">
      <c r="A1938" s="253"/>
      <c r="B1938" s="231"/>
      <c r="C1938" s="32" t="s">
        <v>47</v>
      </c>
      <c r="D1938" s="239">
        <v>22021012</v>
      </c>
      <c r="E1938" s="135" t="s">
        <v>1040</v>
      </c>
      <c r="F1938" s="138">
        <v>605000</v>
      </c>
      <c r="G1938" s="297">
        <v>605000</v>
      </c>
      <c r="H1938" s="297"/>
      <c r="I1938" s="297"/>
      <c r="J1938" s="28">
        <v>605000</v>
      </c>
      <c r="K1938" s="488">
        <f t="shared" si="335"/>
        <v>26499</v>
      </c>
      <c r="L1938" s="469">
        <v>578501</v>
      </c>
      <c r="M1938" s="297">
        <v>605000</v>
      </c>
      <c r="N1938" s="297">
        <v>605000</v>
      </c>
    </row>
    <row r="1939" spans="1:14" s="20" customFormat="1">
      <c r="A1939" s="253"/>
      <c r="B1939" s="231"/>
      <c r="C1939" s="32" t="s">
        <v>47</v>
      </c>
      <c r="D1939" s="239">
        <v>22021013</v>
      </c>
      <c r="E1939" s="135" t="s">
        <v>902</v>
      </c>
      <c r="F1939" s="138">
        <v>1409000</v>
      </c>
      <c r="G1939" s="297">
        <v>1409000</v>
      </c>
      <c r="H1939" s="297"/>
      <c r="I1939" s="297"/>
      <c r="J1939" s="28">
        <v>1409000</v>
      </c>
      <c r="K1939" s="488">
        <f t="shared" si="335"/>
        <v>61714.2</v>
      </c>
      <c r="L1939" s="469">
        <v>1347285.8</v>
      </c>
      <c r="M1939" s="297">
        <v>1409000</v>
      </c>
      <c r="N1939" s="297">
        <v>1409000</v>
      </c>
    </row>
    <row r="1940" spans="1:14" s="20" customFormat="1">
      <c r="A1940" s="238"/>
      <c r="B1940" s="231"/>
      <c r="C1940" s="30" t="s">
        <v>1837</v>
      </c>
      <c r="D1940" s="23"/>
      <c r="E1940" s="25"/>
      <c r="F1940" s="137">
        <f>SUM(F1922:F1939)</f>
        <v>17354600</v>
      </c>
      <c r="G1940" s="114">
        <f>SUM(G1922:G1939)</f>
        <v>17354600</v>
      </c>
      <c r="H1940" s="114">
        <f t="shared" ref="H1940:I1940" si="336">SUM(H1922:H1939)</f>
        <v>0</v>
      </c>
      <c r="I1940" s="114">
        <f t="shared" si="336"/>
        <v>0</v>
      </c>
      <c r="J1940" s="114">
        <f>SUM(J1922:J1939)</f>
        <v>17354600</v>
      </c>
      <c r="K1940" s="490">
        <f t="shared" si="335"/>
        <v>760131.48</v>
      </c>
      <c r="L1940" s="468">
        <f>SUM(L1922:L1939)</f>
        <v>16594468.520000001</v>
      </c>
      <c r="M1940" s="114">
        <f>SUM(M1922:M1939)</f>
        <v>45354600</v>
      </c>
      <c r="N1940" s="114">
        <f>SUM(N1922:N1939)</f>
        <v>45354600</v>
      </c>
    </row>
    <row r="1941" spans="1:14" s="66" customFormat="1">
      <c r="A1941" s="238" t="s">
        <v>1039</v>
      </c>
      <c r="B1941" s="231" t="s">
        <v>1817</v>
      </c>
      <c r="C1941" s="30"/>
      <c r="D1941" s="23"/>
      <c r="E1941" s="25"/>
      <c r="F1941" s="137">
        <f>F1940+F1921</f>
        <v>43008155.480000004</v>
      </c>
      <c r="G1941" s="114">
        <f>G1940+G1921</f>
        <v>43008155.480000004</v>
      </c>
      <c r="H1941" s="114">
        <f t="shared" ref="H1941:I1941" si="337">H1940+H1921</f>
        <v>0</v>
      </c>
      <c r="I1941" s="114">
        <f t="shared" si="337"/>
        <v>0</v>
      </c>
      <c r="J1941" s="114">
        <f>J1940+J1921</f>
        <v>43008155.480000004</v>
      </c>
      <c r="K1941" s="490"/>
      <c r="L1941" s="468">
        <f>L1940+L1921</f>
        <v>42248024</v>
      </c>
      <c r="M1941" s="114">
        <f>M1940+M1921</f>
        <v>73573511.027999997</v>
      </c>
      <c r="N1941" s="114">
        <f>N1940+N1921</f>
        <v>76395402.130800009</v>
      </c>
    </row>
    <row r="1942" spans="1:14" s="66" customFormat="1" ht="21">
      <c r="A1942" s="252"/>
      <c r="B1942" s="443"/>
      <c r="C1942" s="228"/>
      <c r="D1942" s="229"/>
      <c r="E1942" s="230"/>
      <c r="F1942" s="215"/>
      <c r="G1942" s="296"/>
      <c r="H1942" s="296"/>
      <c r="I1942" s="296"/>
      <c r="J1942" s="28"/>
      <c r="K1942" s="488"/>
      <c r="L1942" s="468"/>
      <c r="M1942" s="296"/>
      <c r="N1942" s="296"/>
    </row>
    <row r="1943" spans="1:14" s="66" customFormat="1" ht="30">
      <c r="A1943" s="238" t="s">
        <v>1042</v>
      </c>
      <c r="B1943" s="231" t="s">
        <v>1041</v>
      </c>
      <c r="C1943" s="32" t="s">
        <v>46</v>
      </c>
      <c r="D1943" s="239">
        <v>21010101</v>
      </c>
      <c r="E1943" s="135" t="s">
        <v>725</v>
      </c>
      <c r="F1943" s="138">
        <v>239230611.96000001</v>
      </c>
      <c r="G1943" s="297">
        <v>239230611.96000001</v>
      </c>
      <c r="H1943" s="297">
        <v>210418702</v>
      </c>
      <c r="I1943" s="297"/>
      <c r="J1943" s="28">
        <v>449649313.96000004</v>
      </c>
      <c r="K1943" s="488"/>
      <c r="L1943" s="467">
        <v>449649313.96000004</v>
      </c>
      <c r="M1943" s="297">
        <f>G1943*10%+G1943</f>
        <v>263153673.15600002</v>
      </c>
      <c r="N1943" s="297">
        <f>M1943*10%+M1943</f>
        <v>289469040.4716</v>
      </c>
    </row>
    <row r="1944" spans="1:14" s="66" customFormat="1">
      <c r="A1944" s="259"/>
      <c r="B1944" s="231"/>
      <c r="C1944" s="30" t="s">
        <v>1836</v>
      </c>
      <c r="D1944" s="23"/>
      <c r="E1944" s="25"/>
      <c r="F1944" s="137">
        <f>SUM(F1943)</f>
        <v>239230611.96000001</v>
      </c>
      <c r="G1944" s="114">
        <f>SUM(G1943)</f>
        <v>239230611.96000001</v>
      </c>
      <c r="H1944" s="114">
        <f t="shared" ref="H1944:I1944" si="338">SUM(H1943)</f>
        <v>210418702</v>
      </c>
      <c r="I1944" s="114">
        <f t="shared" si="338"/>
        <v>0</v>
      </c>
      <c r="J1944" s="114">
        <f>SUM(J1943)</f>
        <v>449649313.96000004</v>
      </c>
      <c r="K1944" s="490"/>
      <c r="L1944" s="468">
        <f>SUM(L1943)</f>
        <v>449649313.96000004</v>
      </c>
      <c r="M1944" s="114">
        <f>SUM(M1943)</f>
        <v>263153673.15600002</v>
      </c>
      <c r="N1944" s="114">
        <f>SUM(N1943)</f>
        <v>289469040.4716</v>
      </c>
    </row>
    <row r="1945" spans="1:14" s="66" customFormat="1">
      <c r="A1945" s="253"/>
      <c r="B1945" s="231"/>
      <c r="C1945" s="32" t="s">
        <v>47</v>
      </c>
      <c r="D1945" s="239">
        <v>22020105</v>
      </c>
      <c r="E1945" s="135" t="s">
        <v>1733</v>
      </c>
      <c r="F1945" s="138">
        <f>16776000+540000</f>
        <v>17316000</v>
      </c>
      <c r="G1945" s="297">
        <v>8000000</v>
      </c>
      <c r="H1945" s="297"/>
      <c r="I1945" s="297"/>
      <c r="J1945" s="28">
        <v>8000000</v>
      </c>
      <c r="K1945" s="488">
        <f>J1945*4.38%</f>
        <v>350400</v>
      </c>
      <c r="L1945" s="469">
        <v>7649600</v>
      </c>
      <c r="M1945" s="297">
        <f t="shared" ref="M1945:M1958" si="339">G1945*10%+G1945</f>
        <v>8800000</v>
      </c>
      <c r="N1945" s="297">
        <f>M1945*10%+M1945</f>
        <v>9680000</v>
      </c>
    </row>
    <row r="1946" spans="1:14" s="66" customFormat="1">
      <c r="A1946" s="253"/>
      <c r="B1946" s="231"/>
      <c r="C1946" s="32" t="s">
        <v>47</v>
      </c>
      <c r="D1946" s="239">
        <v>22020301</v>
      </c>
      <c r="E1946" s="135" t="s">
        <v>737</v>
      </c>
      <c r="F1946" s="138">
        <v>2000000</v>
      </c>
      <c r="G1946" s="297">
        <v>2000000</v>
      </c>
      <c r="H1946" s="297"/>
      <c r="I1946" s="297"/>
      <c r="J1946" s="28">
        <v>2000000</v>
      </c>
      <c r="K1946" s="488">
        <f t="shared" ref="K1946:K1958" si="340">J1946*4.38%</f>
        <v>87600</v>
      </c>
      <c r="L1946" s="469">
        <v>1912400</v>
      </c>
      <c r="M1946" s="297">
        <f t="shared" si="339"/>
        <v>2200000</v>
      </c>
      <c r="N1946" s="297">
        <f t="shared" ref="N1946:N1960" si="341">M1946*10%+M1946</f>
        <v>2420000</v>
      </c>
    </row>
    <row r="1947" spans="1:14" s="66" customFormat="1">
      <c r="A1947" s="253"/>
      <c r="B1947" s="231"/>
      <c r="C1947" s="32" t="s">
        <v>47</v>
      </c>
      <c r="D1947" s="239">
        <v>22020307</v>
      </c>
      <c r="E1947" s="135" t="s">
        <v>822</v>
      </c>
      <c r="F1947" s="138">
        <v>24000</v>
      </c>
      <c r="G1947" s="297">
        <v>24000</v>
      </c>
      <c r="H1947" s="297"/>
      <c r="I1947" s="297"/>
      <c r="J1947" s="28">
        <v>24000</v>
      </c>
      <c r="K1947" s="488">
        <f t="shared" si="340"/>
        <v>1051.2</v>
      </c>
      <c r="L1947" s="469">
        <v>22948.800000000003</v>
      </c>
      <c r="M1947" s="297">
        <f t="shared" si="339"/>
        <v>26400</v>
      </c>
      <c r="N1947" s="297">
        <f t="shared" si="341"/>
        <v>29040</v>
      </c>
    </row>
    <row r="1948" spans="1:14" s="66" customFormat="1">
      <c r="A1948" s="253"/>
      <c r="B1948" s="231"/>
      <c r="C1948" s="32" t="s">
        <v>47</v>
      </c>
      <c r="D1948" s="239">
        <v>22020401</v>
      </c>
      <c r="E1948" s="135" t="s">
        <v>741</v>
      </c>
      <c r="F1948" s="138">
        <f>164250+20800</f>
        <v>185050</v>
      </c>
      <c r="G1948" s="297">
        <f>164250+20800</f>
        <v>185050</v>
      </c>
      <c r="H1948" s="297"/>
      <c r="I1948" s="297"/>
      <c r="J1948" s="28">
        <v>185050</v>
      </c>
      <c r="K1948" s="488">
        <f t="shared" si="340"/>
        <v>8105.19</v>
      </c>
      <c r="L1948" s="469">
        <v>176944.81</v>
      </c>
      <c r="M1948" s="297">
        <f t="shared" si="339"/>
        <v>203555</v>
      </c>
      <c r="N1948" s="297">
        <f t="shared" si="341"/>
        <v>223910.5</v>
      </c>
    </row>
    <row r="1949" spans="1:14" s="66" customFormat="1">
      <c r="A1949" s="253"/>
      <c r="B1949" s="231"/>
      <c r="C1949" s="32" t="s">
        <v>47</v>
      </c>
      <c r="D1949" s="239">
        <v>22020403</v>
      </c>
      <c r="E1949" s="135" t="s">
        <v>1043</v>
      </c>
      <c r="F1949" s="138">
        <v>11036000</v>
      </c>
      <c r="G1949" s="297">
        <v>5000000</v>
      </c>
      <c r="H1949" s="297"/>
      <c r="I1949" s="297"/>
      <c r="J1949" s="28">
        <v>5000000</v>
      </c>
      <c r="K1949" s="488">
        <f t="shared" si="340"/>
        <v>219000</v>
      </c>
      <c r="L1949" s="469">
        <v>4781000</v>
      </c>
      <c r="M1949" s="297">
        <f t="shared" si="339"/>
        <v>5500000</v>
      </c>
      <c r="N1949" s="297">
        <f t="shared" si="341"/>
        <v>6050000</v>
      </c>
    </row>
    <row r="1950" spans="1:14" s="66" customFormat="1">
      <c r="A1950" s="253"/>
      <c r="B1950" s="231"/>
      <c r="C1950" s="32" t="s">
        <v>47</v>
      </c>
      <c r="D1950" s="239">
        <v>22020404</v>
      </c>
      <c r="E1950" s="135" t="s">
        <v>994</v>
      </c>
      <c r="F1950" s="138">
        <v>755000</v>
      </c>
      <c r="G1950" s="297">
        <v>755000</v>
      </c>
      <c r="H1950" s="297"/>
      <c r="I1950" s="297"/>
      <c r="J1950" s="28">
        <v>755000</v>
      </c>
      <c r="K1950" s="488">
        <f t="shared" si="340"/>
        <v>33069</v>
      </c>
      <c r="L1950" s="469">
        <v>721931</v>
      </c>
      <c r="M1950" s="297">
        <f t="shared" si="339"/>
        <v>830500</v>
      </c>
      <c r="N1950" s="297">
        <f t="shared" si="341"/>
        <v>913550</v>
      </c>
    </row>
    <row r="1951" spans="1:14" s="66" customFormat="1">
      <c r="A1951" s="253"/>
      <c r="B1951" s="231"/>
      <c r="C1951" s="32" t="s">
        <v>47</v>
      </c>
      <c r="D1951" s="239">
        <v>22020405</v>
      </c>
      <c r="E1951" s="135" t="s">
        <v>743</v>
      </c>
      <c r="F1951" s="138">
        <v>360000</v>
      </c>
      <c r="G1951" s="297">
        <v>360000</v>
      </c>
      <c r="H1951" s="297"/>
      <c r="I1951" s="297"/>
      <c r="J1951" s="28">
        <v>360000</v>
      </c>
      <c r="K1951" s="488">
        <f t="shared" si="340"/>
        <v>15768</v>
      </c>
      <c r="L1951" s="469">
        <v>344232</v>
      </c>
      <c r="M1951" s="297">
        <f t="shared" si="339"/>
        <v>396000</v>
      </c>
      <c r="N1951" s="297">
        <f t="shared" si="341"/>
        <v>435600</v>
      </c>
    </row>
    <row r="1952" spans="1:14" s="66" customFormat="1">
      <c r="A1952" s="253"/>
      <c r="B1952" s="231"/>
      <c r="C1952" s="32" t="s">
        <v>47</v>
      </c>
      <c r="D1952" s="239">
        <v>22020709</v>
      </c>
      <c r="E1952" s="135" t="s">
        <v>771</v>
      </c>
      <c r="F1952" s="138">
        <v>400000</v>
      </c>
      <c r="G1952" s="297">
        <v>400000</v>
      </c>
      <c r="H1952" s="297"/>
      <c r="I1952" s="297"/>
      <c r="J1952" s="28">
        <v>400000</v>
      </c>
      <c r="K1952" s="488">
        <f t="shared" si="340"/>
        <v>17520</v>
      </c>
      <c r="L1952" s="469">
        <v>382480</v>
      </c>
      <c r="M1952" s="297">
        <f t="shared" si="339"/>
        <v>440000</v>
      </c>
      <c r="N1952" s="297">
        <f t="shared" si="341"/>
        <v>484000</v>
      </c>
    </row>
    <row r="1953" spans="1:14" s="66" customFormat="1">
      <c r="A1953" s="253"/>
      <c r="B1953" s="231"/>
      <c r="C1953" s="32" t="s">
        <v>47</v>
      </c>
      <c r="D1953" s="239">
        <v>22020801</v>
      </c>
      <c r="E1953" s="135" t="s">
        <v>747</v>
      </c>
      <c r="F1953" s="138">
        <v>2183990</v>
      </c>
      <c r="G1953" s="297">
        <v>2183990</v>
      </c>
      <c r="H1953" s="297"/>
      <c r="I1953" s="297"/>
      <c r="J1953" s="28">
        <v>2183990</v>
      </c>
      <c r="K1953" s="488">
        <f t="shared" si="340"/>
        <v>95658.762000000002</v>
      </c>
      <c r="L1953" s="469">
        <v>2088331.2380000001</v>
      </c>
      <c r="M1953" s="297">
        <f t="shared" si="339"/>
        <v>2402389</v>
      </c>
      <c r="N1953" s="297">
        <f t="shared" si="341"/>
        <v>2642627.9</v>
      </c>
    </row>
    <row r="1954" spans="1:14" s="66" customFormat="1">
      <c r="A1954" s="253"/>
      <c r="B1954" s="231"/>
      <c r="C1954" s="32" t="s">
        <v>47</v>
      </c>
      <c r="D1954" s="239">
        <v>22020803</v>
      </c>
      <c r="E1954" s="135" t="s">
        <v>748</v>
      </c>
      <c r="F1954" s="138">
        <v>414000</v>
      </c>
      <c r="G1954" s="297">
        <v>414000</v>
      </c>
      <c r="H1954" s="297"/>
      <c r="I1954" s="297"/>
      <c r="J1954" s="28">
        <v>414000</v>
      </c>
      <c r="K1954" s="488">
        <f t="shared" si="340"/>
        <v>18133.2</v>
      </c>
      <c r="L1954" s="469">
        <v>395866.80000000005</v>
      </c>
      <c r="M1954" s="297">
        <f t="shared" si="339"/>
        <v>455400</v>
      </c>
      <c r="N1954" s="297">
        <f t="shared" si="341"/>
        <v>500940</v>
      </c>
    </row>
    <row r="1955" spans="1:14" s="66" customFormat="1">
      <c r="A1955" s="253"/>
      <c r="B1955" s="231"/>
      <c r="C1955" s="32" t="s">
        <v>47</v>
      </c>
      <c r="D1955" s="239">
        <v>22020901</v>
      </c>
      <c r="E1955" s="135" t="s">
        <v>749</v>
      </c>
      <c r="F1955" s="138">
        <v>40000</v>
      </c>
      <c r="G1955" s="297">
        <v>40000</v>
      </c>
      <c r="H1955" s="297"/>
      <c r="I1955" s="297"/>
      <c r="J1955" s="28">
        <v>40000</v>
      </c>
      <c r="K1955" s="488">
        <f t="shared" si="340"/>
        <v>1752</v>
      </c>
      <c r="L1955" s="469">
        <v>38248</v>
      </c>
      <c r="M1955" s="297">
        <f t="shared" si="339"/>
        <v>44000</v>
      </c>
      <c r="N1955" s="297">
        <f t="shared" si="341"/>
        <v>48400</v>
      </c>
    </row>
    <row r="1956" spans="1:14" s="66" customFormat="1">
      <c r="A1956" s="253"/>
      <c r="B1956" s="231"/>
      <c r="C1956" s="32" t="s">
        <v>47</v>
      </c>
      <c r="D1956" s="239">
        <v>22021001</v>
      </c>
      <c r="E1956" s="135" t="s">
        <v>772</v>
      </c>
      <c r="F1956" s="138">
        <v>2148400</v>
      </c>
      <c r="G1956" s="297">
        <v>300000</v>
      </c>
      <c r="H1956" s="297"/>
      <c r="I1956" s="297"/>
      <c r="J1956" s="28">
        <v>300000</v>
      </c>
      <c r="K1956" s="488">
        <f t="shared" si="340"/>
        <v>13140</v>
      </c>
      <c r="L1956" s="469">
        <v>286860</v>
      </c>
      <c r="M1956" s="297">
        <f t="shared" si="339"/>
        <v>330000</v>
      </c>
      <c r="N1956" s="297">
        <f t="shared" si="341"/>
        <v>363000</v>
      </c>
    </row>
    <row r="1957" spans="1:14" s="66" customFormat="1">
      <c r="A1957" s="253"/>
      <c r="B1957" s="231"/>
      <c r="C1957" s="32" t="s">
        <v>47</v>
      </c>
      <c r="D1957" s="239">
        <v>22021003</v>
      </c>
      <c r="E1957" s="135" t="s">
        <v>760</v>
      </c>
      <c r="F1957" s="138">
        <v>250000</v>
      </c>
      <c r="G1957" s="297">
        <v>250000</v>
      </c>
      <c r="H1957" s="297"/>
      <c r="I1957" s="297"/>
      <c r="J1957" s="28">
        <v>250000</v>
      </c>
      <c r="K1957" s="488">
        <f t="shared" si="340"/>
        <v>10950</v>
      </c>
      <c r="L1957" s="469">
        <v>239050</v>
      </c>
      <c r="M1957" s="297">
        <f t="shared" si="339"/>
        <v>275000</v>
      </c>
      <c r="N1957" s="297">
        <f t="shared" si="341"/>
        <v>302500</v>
      </c>
    </row>
    <row r="1958" spans="1:14" s="66" customFormat="1">
      <c r="A1958" s="253"/>
      <c r="B1958" s="231"/>
      <c r="C1958" s="32" t="s">
        <v>47</v>
      </c>
      <c r="D1958" s="239">
        <v>22021009</v>
      </c>
      <c r="E1958" s="135" t="s">
        <v>873</v>
      </c>
      <c r="F1958" s="138">
        <v>828000</v>
      </c>
      <c r="G1958" s="297">
        <v>828000</v>
      </c>
      <c r="H1958" s="297"/>
      <c r="I1958" s="297"/>
      <c r="J1958" s="28">
        <v>828000</v>
      </c>
      <c r="K1958" s="488">
        <f t="shared" si="340"/>
        <v>36266.400000000001</v>
      </c>
      <c r="L1958" s="469">
        <v>791733.60000000009</v>
      </c>
      <c r="M1958" s="297">
        <f t="shared" si="339"/>
        <v>910800</v>
      </c>
      <c r="N1958" s="297">
        <f t="shared" si="341"/>
        <v>1001880</v>
      </c>
    </row>
    <row r="1959" spans="1:14" s="66" customFormat="1">
      <c r="A1959" s="238"/>
      <c r="B1959" s="231"/>
      <c r="C1959" s="30" t="s">
        <v>1837</v>
      </c>
      <c r="D1959" s="23"/>
      <c r="E1959" s="25"/>
      <c r="F1959" s="137">
        <f>SUM(F1945:F1958)</f>
        <v>37940440</v>
      </c>
      <c r="G1959" s="114">
        <f>SUM(G1945:G1958)</f>
        <v>20740040</v>
      </c>
      <c r="H1959" s="114">
        <f t="shared" ref="H1959:I1959" si="342">SUM(H1945:H1958)</f>
        <v>0</v>
      </c>
      <c r="I1959" s="114">
        <f t="shared" si="342"/>
        <v>0</v>
      </c>
      <c r="J1959" s="114">
        <f>SUM(J1945:J1958)</f>
        <v>20740040</v>
      </c>
      <c r="K1959" s="490">
        <f>SUM(K1945:K1958)</f>
        <v>908413.75199999998</v>
      </c>
      <c r="L1959" s="468">
        <f>SUM(L1945:L1958)</f>
        <v>19831626.248000003</v>
      </c>
      <c r="M1959" s="114">
        <f>SUM(M1945:M1958)</f>
        <v>22814044</v>
      </c>
      <c r="N1959" s="114">
        <f t="shared" si="341"/>
        <v>25095448.399999999</v>
      </c>
    </row>
    <row r="1960" spans="1:14" s="66" customFormat="1" ht="30">
      <c r="A1960" s="238" t="s">
        <v>1042</v>
      </c>
      <c r="B1960" s="231" t="s">
        <v>1818</v>
      </c>
      <c r="C1960" s="30"/>
      <c r="D1960" s="23"/>
      <c r="E1960" s="25"/>
      <c r="F1960" s="137">
        <f>F1959+F1944</f>
        <v>277171051.96000004</v>
      </c>
      <c r="G1960" s="114">
        <f>G1959+G1944</f>
        <v>259970651.96000001</v>
      </c>
      <c r="H1960" s="114">
        <f t="shared" ref="H1960:I1960" si="343">H1959+H1944</f>
        <v>210418702</v>
      </c>
      <c r="I1960" s="114">
        <f t="shared" si="343"/>
        <v>0</v>
      </c>
      <c r="J1960" s="114">
        <f>J1959+J1944</f>
        <v>470389353.96000004</v>
      </c>
      <c r="K1960" s="490"/>
      <c r="L1960" s="468">
        <f>L1959+L1944</f>
        <v>469480940.20800006</v>
      </c>
      <c r="M1960" s="114">
        <f>M1959+M1944</f>
        <v>285967717.15600002</v>
      </c>
      <c r="N1960" s="114">
        <f t="shared" si="341"/>
        <v>314564488.87160003</v>
      </c>
    </row>
    <row r="1961" spans="1:14" s="20" customFormat="1" ht="21">
      <c r="A1961" s="252"/>
      <c r="B1961" s="443"/>
      <c r="C1961" s="228"/>
      <c r="D1961" s="229"/>
      <c r="E1961" s="230"/>
      <c r="F1961" s="215"/>
      <c r="G1961" s="296"/>
      <c r="H1961" s="296"/>
      <c r="I1961" s="296"/>
      <c r="J1961" s="28"/>
      <c r="K1961" s="488"/>
      <c r="L1961" s="468"/>
      <c r="M1961" s="296"/>
      <c r="N1961" s="296"/>
    </row>
    <row r="1962" spans="1:14" s="20" customFormat="1">
      <c r="A1962" s="238" t="s">
        <v>1044</v>
      </c>
      <c r="B1962" s="231" t="s">
        <v>1706</v>
      </c>
      <c r="C1962" s="32" t="s">
        <v>946</v>
      </c>
      <c r="D1962" s="239">
        <v>21010101</v>
      </c>
      <c r="E1962" s="135" t="s">
        <v>725</v>
      </c>
      <c r="F1962" s="138">
        <v>43824360.359999999</v>
      </c>
      <c r="G1962" s="297">
        <v>43824360.359999999</v>
      </c>
      <c r="H1962" s="297"/>
      <c r="I1962" s="297"/>
      <c r="J1962" s="28">
        <v>43824360.359999999</v>
      </c>
      <c r="K1962" s="488"/>
      <c r="L1962" s="467">
        <v>43824360.359999999</v>
      </c>
      <c r="M1962" s="297">
        <f>G1962*10%+G1962</f>
        <v>48206796.395999998</v>
      </c>
      <c r="N1962" s="297">
        <f>M1962*10%+M1962</f>
        <v>53027476.035599999</v>
      </c>
    </row>
    <row r="1963" spans="1:14" s="20" customFormat="1">
      <c r="A1963" s="238"/>
      <c r="B1963" s="231"/>
      <c r="C1963" s="30" t="s">
        <v>1836</v>
      </c>
      <c r="D1963" s="23"/>
      <c r="E1963" s="25"/>
      <c r="F1963" s="137">
        <f>SUM(F1962)</f>
        <v>43824360.359999999</v>
      </c>
      <c r="G1963" s="114">
        <f>SUM(G1962)</f>
        <v>43824360.359999999</v>
      </c>
      <c r="H1963" s="114">
        <f t="shared" ref="H1963:I1963" si="344">SUM(H1962)</f>
        <v>0</v>
      </c>
      <c r="I1963" s="114">
        <f t="shared" si="344"/>
        <v>0</v>
      </c>
      <c r="J1963" s="114">
        <f>SUM(J1962)</f>
        <v>43824360.359999999</v>
      </c>
      <c r="K1963" s="490"/>
      <c r="L1963" s="468">
        <f>SUM(L1962)</f>
        <v>43824360.359999999</v>
      </c>
      <c r="M1963" s="114">
        <f>SUM(M1962)</f>
        <v>48206796.395999998</v>
      </c>
      <c r="N1963" s="114">
        <f>SUM(N1962)</f>
        <v>53027476.035599999</v>
      </c>
    </row>
    <row r="1964" spans="1:14" s="20" customFormat="1">
      <c r="A1964" s="253"/>
      <c r="B1964" s="231"/>
      <c r="C1964" s="32" t="s">
        <v>47</v>
      </c>
      <c r="D1964" s="239">
        <v>22020201</v>
      </c>
      <c r="E1964" s="135" t="s">
        <v>849</v>
      </c>
      <c r="F1964" s="138">
        <v>480000</v>
      </c>
      <c r="G1964" s="297">
        <v>280000</v>
      </c>
      <c r="H1964" s="297"/>
      <c r="I1964" s="297"/>
      <c r="J1964" s="28">
        <v>280000</v>
      </c>
      <c r="K1964" s="488">
        <f>J1964*4.38%</f>
        <v>12264</v>
      </c>
      <c r="L1964" s="469">
        <v>267736</v>
      </c>
      <c r="M1964" s="297">
        <v>480000</v>
      </c>
      <c r="N1964" s="297">
        <v>480000</v>
      </c>
    </row>
    <row r="1965" spans="1:14" s="20" customFormat="1">
      <c r="A1965" s="253"/>
      <c r="B1965" s="231"/>
      <c r="C1965" s="32" t="s">
        <v>47</v>
      </c>
      <c r="D1965" s="239">
        <v>22020203</v>
      </c>
      <c r="E1965" s="135" t="s">
        <v>779</v>
      </c>
      <c r="F1965" s="138">
        <v>120000</v>
      </c>
      <c r="G1965" s="297">
        <v>120000</v>
      </c>
      <c r="H1965" s="297"/>
      <c r="I1965" s="297"/>
      <c r="J1965" s="28">
        <v>120000</v>
      </c>
      <c r="K1965" s="488">
        <f t="shared" ref="K1965:K1977" si="345">J1965*4.38%</f>
        <v>5256</v>
      </c>
      <c r="L1965" s="469">
        <v>114744</v>
      </c>
      <c r="M1965" s="297">
        <v>120000</v>
      </c>
      <c r="N1965" s="297">
        <v>120000</v>
      </c>
    </row>
    <row r="1966" spans="1:14" s="20" customFormat="1">
      <c r="A1966" s="253"/>
      <c r="B1966" s="231"/>
      <c r="C1966" s="32" t="s">
        <v>47</v>
      </c>
      <c r="D1966" s="239">
        <v>22020205</v>
      </c>
      <c r="E1966" s="135" t="s">
        <v>850</v>
      </c>
      <c r="F1966" s="138">
        <v>120000</v>
      </c>
      <c r="G1966" s="297">
        <v>120000</v>
      </c>
      <c r="H1966" s="297"/>
      <c r="I1966" s="297"/>
      <c r="J1966" s="28">
        <v>120000</v>
      </c>
      <c r="K1966" s="488">
        <f t="shared" si="345"/>
        <v>5256</v>
      </c>
      <c r="L1966" s="469">
        <v>114744</v>
      </c>
      <c r="M1966" s="297">
        <v>120000</v>
      </c>
      <c r="N1966" s="297">
        <v>120000</v>
      </c>
    </row>
    <row r="1967" spans="1:14" s="20" customFormat="1">
      <c r="A1967" s="253"/>
      <c r="B1967" s="231"/>
      <c r="C1967" s="32" t="s">
        <v>47</v>
      </c>
      <c r="D1967" s="239">
        <v>22020301</v>
      </c>
      <c r="E1967" s="135" t="s">
        <v>737</v>
      </c>
      <c r="F1967" s="138">
        <v>1635008</v>
      </c>
      <c r="G1967" s="297">
        <v>635008</v>
      </c>
      <c r="H1967" s="297"/>
      <c r="I1967" s="297"/>
      <c r="J1967" s="28">
        <v>635008</v>
      </c>
      <c r="K1967" s="488">
        <f t="shared" si="345"/>
        <v>27813.350399999999</v>
      </c>
      <c r="L1967" s="469">
        <v>607194.6496</v>
      </c>
      <c r="M1967" s="297">
        <v>1635008</v>
      </c>
      <c r="N1967" s="297">
        <v>1635008</v>
      </c>
    </row>
    <row r="1968" spans="1:14" s="20" customFormat="1">
      <c r="A1968" s="253"/>
      <c r="B1968" s="231"/>
      <c r="C1968" s="32" t="s">
        <v>47</v>
      </c>
      <c r="D1968" s="239">
        <v>22020302</v>
      </c>
      <c r="E1968" s="135" t="s">
        <v>872</v>
      </c>
      <c r="F1968" s="138">
        <v>500000</v>
      </c>
      <c r="G1968" s="297">
        <v>500000</v>
      </c>
      <c r="H1968" s="297"/>
      <c r="I1968" s="297"/>
      <c r="J1968" s="28">
        <v>500000</v>
      </c>
      <c r="K1968" s="488">
        <f t="shared" si="345"/>
        <v>21900</v>
      </c>
      <c r="L1968" s="469">
        <v>478100</v>
      </c>
      <c r="M1968" s="297">
        <v>500000</v>
      </c>
      <c r="N1968" s="297">
        <v>500000</v>
      </c>
    </row>
    <row r="1969" spans="1:14" s="20" customFormat="1">
      <c r="A1969" s="253"/>
      <c r="B1969" s="231"/>
      <c r="C1969" s="32" t="s">
        <v>47</v>
      </c>
      <c r="D1969" s="239">
        <v>22020303</v>
      </c>
      <c r="E1969" s="135" t="s">
        <v>738</v>
      </c>
      <c r="F1969" s="138">
        <v>40000</v>
      </c>
      <c r="G1969" s="297">
        <v>40000</v>
      </c>
      <c r="H1969" s="297"/>
      <c r="I1969" s="297"/>
      <c r="J1969" s="28">
        <v>40000</v>
      </c>
      <c r="K1969" s="488">
        <f t="shared" si="345"/>
        <v>1752</v>
      </c>
      <c r="L1969" s="469">
        <v>38248</v>
      </c>
      <c r="M1969" s="297">
        <v>40000</v>
      </c>
      <c r="N1969" s="297">
        <v>40000</v>
      </c>
    </row>
    <row r="1970" spans="1:14" s="20" customFormat="1">
      <c r="A1970" s="253"/>
      <c r="B1970" s="231"/>
      <c r="C1970" s="32" t="s">
        <v>47</v>
      </c>
      <c r="D1970" s="239">
        <v>22020305</v>
      </c>
      <c r="E1970" s="135" t="s">
        <v>755</v>
      </c>
      <c r="F1970" s="138">
        <v>150000</v>
      </c>
      <c r="G1970" s="297">
        <v>150000</v>
      </c>
      <c r="H1970" s="297"/>
      <c r="I1970" s="297"/>
      <c r="J1970" s="28">
        <v>150000</v>
      </c>
      <c r="K1970" s="488">
        <f t="shared" si="345"/>
        <v>6570</v>
      </c>
      <c r="L1970" s="469">
        <v>143430</v>
      </c>
      <c r="M1970" s="297">
        <v>150000</v>
      </c>
      <c r="N1970" s="297">
        <v>150000</v>
      </c>
    </row>
    <row r="1971" spans="1:14" s="20" customFormat="1">
      <c r="A1971" s="253"/>
      <c r="B1971" s="231"/>
      <c r="C1971" s="32" t="s">
        <v>47</v>
      </c>
      <c r="D1971" s="239">
        <v>22020307</v>
      </c>
      <c r="E1971" s="135" t="s">
        <v>822</v>
      </c>
      <c r="F1971" s="138">
        <v>730000</v>
      </c>
      <c r="G1971" s="297">
        <v>400000</v>
      </c>
      <c r="H1971" s="297"/>
      <c r="I1971" s="297"/>
      <c r="J1971" s="28">
        <v>400000</v>
      </c>
      <c r="K1971" s="488">
        <f t="shared" si="345"/>
        <v>17520</v>
      </c>
      <c r="L1971" s="469">
        <v>382480</v>
      </c>
      <c r="M1971" s="297">
        <v>730000</v>
      </c>
      <c r="N1971" s="297">
        <v>730000</v>
      </c>
    </row>
    <row r="1972" spans="1:14" s="20" customFormat="1">
      <c r="A1972" s="253"/>
      <c r="B1972" s="231"/>
      <c r="C1972" s="32" t="s">
        <v>47</v>
      </c>
      <c r="D1972" s="239">
        <v>22020404</v>
      </c>
      <c r="E1972" s="135" t="s">
        <v>742</v>
      </c>
      <c r="F1972" s="138">
        <v>170000</v>
      </c>
      <c r="G1972" s="297">
        <v>170000</v>
      </c>
      <c r="H1972" s="297"/>
      <c r="I1972" s="297"/>
      <c r="J1972" s="28">
        <v>170000</v>
      </c>
      <c r="K1972" s="488">
        <f t="shared" si="345"/>
        <v>7446</v>
      </c>
      <c r="L1972" s="469">
        <v>162554</v>
      </c>
      <c r="M1972" s="297">
        <v>170000</v>
      </c>
      <c r="N1972" s="297">
        <v>170000</v>
      </c>
    </row>
    <row r="1973" spans="1:14" s="20" customFormat="1">
      <c r="A1973" s="253"/>
      <c r="B1973" s="231"/>
      <c r="C1973" s="32" t="s">
        <v>47</v>
      </c>
      <c r="D1973" s="239">
        <v>22020504</v>
      </c>
      <c r="E1973" s="135" t="s">
        <v>897</v>
      </c>
      <c r="F1973" s="138">
        <v>615000</v>
      </c>
      <c r="G1973" s="297">
        <v>615000</v>
      </c>
      <c r="H1973" s="297"/>
      <c r="I1973" s="297"/>
      <c r="J1973" s="28">
        <v>615000</v>
      </c>
      <c r="K1973" s="488">
        <f t="shared" si="345"/>
        <v>26937</v>
      </c>
      <c r="L1973" s="469">
        <v>588063</v>
      </c>
      <c r="M1973" s="297">
        <v>615000</v>
      </c>
      <c r="N1973" s="297">
        <v>615000</v>
      </c>
    </row>
    <row r="1974" spans="1:14" s="20" customFormat="1">
      <c r="A1974" s="253"/>
      <c r="B1974" s="231"/>
      <c r="C1974" s="32" t="s">
        <v>47</v>
      </c>
      <c r="D1974" s="239">
        <v>22020709</v>
      </c>
      <c r="E1974" s="135" t="s">
        <v>771</v>
      </c>
      <c r="F1974" s="138">
        <v>100000</v>
      </c>
      <c r="G1974" s="297">
        <v>100000</v>
      </c>
      <c r="H1974" s="297"/>
      <c r="I1974" s="297"/>
      <c r="J1974" s="28">
        <v>100000</v>
      </c>
      <c r="K1974" s="488">
        <f t="shared" si="345"/>
        <v>4380</v>
      </c>
      <c r="L1974" s="469">
        <v>95620</v>
      </c>
      <c r="M1974" s="297">
        <v>100000</v>
      </c>
      <c r="N1974" s="297">
        <v>100000</v>
      </c>
    </row>
    <row r="1975" spans="1:14" s="20" customFormat="1">
      <c r="A1975" s="253"/>
      <c r="B1975" s="231"/>
      <c r="C1975" s="32" t="s">
        <v>47</v>
      </c>
      <c r="D1975" s="239">
        <v>22020803</v>
      </c>
      <c r="E1975" s="135" t="s">
        <v>748</v>
      </c>
      <c r="F1975" s="138">
        <v>150000</v>
      </c>
      <c r="G1975" s="297">
        <v>150000</v>
      </c>
      <c r="H1975" s="297"/>
      <c r="I1975" s="297"/>
      <c r="J1975" s="28">
        <v>150000</v>
      </c>
      <c r="K1975" s="488">
        <f t="shared" si="345"/>
        <v>6570</v>
      </c>
      <c r="L1975" s="469">
        <v>143430</v>
      </c>
      <c r="M1975" s="297">
        <v>150000</v>
      </c>
      <c r="N1975" s="297">
        <v>150000</v>
      </c>
    </row>
    <row r="1976" spans="1:14" s="20" customFormat="1">
      <c r="A1976" s="253"/>
      <c r="B1976" s="231"/>
      <c r="C1976" s="32" t="s">
        <v>47</v>
      </c>
      <c r="D1976" s="239">
        <v>22020901</v>
      </c>
      <c r="E1976" s="135" t="s">
        <v>749</v>
      </c>
      <c r="F1976" s="138">
        <v>120000</v>
      </c>
      <c r="G1976" s="297">
        <v>5000</v>
      </c>
      <c r="H1976" s="297"/>
      <c r="I1976" s="297"/>
      <c r="J1976" s="28">
        <v>5000</v>
      </c>
      <c r="K1976" s="488">
        <f t="shared" si="345"/>
        <v>219</v>
      </c>
      <c r="L1976" s="469">
        <v>4781</v>
      </c>
      <c r="M1976" s="297">
        <v>120000</v>
      </c>
      <c r="N1976" s="297">
        <v>120000</v>
      </c>
    </row>
    <row r="1977" spans="1:14" s="20" customFormat="1">
      <c r="A1977" s="253"/>
      <c r="B1977" s="231"/>
      <c r="C1977" s="32" t="s">
        <v>47</v>
      </c>
      <c r="D1977" s="77">
        <v>22021009</v>
      </c>
      <c r="E1977" s="240" t="s">
        <v>873</v>
      </c>
      <c r="F1977" s="138">
        <v>502000</v>
      </c>
      <c r="G1977" s="297">
        <v>300000</v>
      </c>
      <c r="H1977" s="297"/>
      <c r="I1977" s="297"/>
      <c r="J1977" s="28">
        <v>300000</v>
      </c>
      <c r="K1977" s="488">
        <f t="shared" si="345"/>
        <v>13140</v>
      </c>
      <c r="L1977" s="469">
        <v>286860</v>
      </c>
      <c r="M1977" s="297">
        <v>502000</v>
      </c>
      <c r="N1977" s="297">
        <v>502000</v>
      </c>
    </row>
    <row r="1978" spans="1:14" s="20" customFormat="1">
      <c r="A1978" s="238"/>
      <c r="B1978" s="231"/>
      <c r="C1978" s="30" t="s">
        <v>1839</v>
      </c>
      <c r="D1978" s="23"/>
      <c r="E1978" s="25"/>
      <c r="F1978" s="137">
        <f>SUM(F1964:F1977)</f>
        <v>5432008</v>
      </c>
      <c r="G1978" s="114">
        <f>SUM(G1964:G1977)</f>
        <v>3585008</v>
      </c>
      <c r="H1978" s="114">
        <f t="shared" ref="H1978:I1978" si="346">SUM(H1964:H1977)</f>
        <v>0</v>
      </c>
      <c r="I1978" s="114">
        <f t="shared" si="346"/>
        <v>0</v>
      </c>
      <c r="J1978" s="114">
        <f>SUM(J1964:J1977)</f>
        <v>3585008</v>
      </c>
      <c r="K1978" s="490">
        <f>SUM(K1964:K1977)</f>
        <v>157023.3504</v>
      </c>
      <c r="L1978" s="468">
        <f>SUM(L1964:L1977)</f>
        <v>3427984.6496000001</v>
      </c>
      <c r="M1978" s="114">
        <f>SUM(M1964:M1977)</f>
        <v>5432008</v>
      </c>
      <c r="N1978" s="114">
        <f>SUM(N1964:N1977)</f>
        <v>5432008</v>
      </c>
    </row>
    <row r="1979" spans="1:14" s="66" customFormat="1" ht="30">
      <c r="A1979" s="238" t="s">
        <v>1044</v>
      </c>
      <c r="B1979" s="231" t="s">
        <v>1819</v>
      </c>
      <c r="C1979" s="30"/>
      <c r="D1979" s="23"/>
      <c r="E1979" s="25"/>
      <c r="F1979" s="137">
        <f>F1978+F1963</f>
        <v>49256368.359999999</v>
      </c>
      <c r="G1979" s="114">
        <f>G1978+G1963</f>
        <v>47409368.359999999</v>
      </c>
      <c r="H1979" s="114">
        <f t="shared" ref="H1979:I1979" si="347">H1978+H1963</f>
        <v>0</v>
      </c>
      <c r="I1979" s="114">
        <f t="shared" si="347"/>
        <v>0</v>
      </c>
      <c r="J1979" s="114">
        <f>J1978+J1963</f>
        <v>47409368.359999999</v>
      </c>
      <c r="K1979" s="490"/>
      <c r="L1979" s="468">
        <f>L1978+L1963</f>
        <v>47252345.009599999</v>
      </c>
      <c r="M1979" s="114">
        <f>M1978+M1963</f>
        <v>53638804.395999998</v>
      </c>
      <c r="N1979" s="114">
        <f>N1978+N1963</f>
        <v>58459484.035599999</v>
      </c>
    </row>
    <row r="1980" spans="1:14" s="20" customFormat="1" ht="21">
      <c r="A1980" s="252"/>
      <c r="B1980" s="443"/>
      <c r="C1980" s="228"/>
      <c r="D1980" s="229"/>
      <c r="E1980" s="230"/>
      <c r="F1980" s="215"/>
      <c r="G1980" s="296"/>
      <c r="H1980" s="296"/>
      <c r="I1980" s="296"/>
      <c r="J1980" s="28"/>
      <c r="K1980" s="488"/>
      <c r="L1980" s="468"/>
      <c r="M1980" s="296"/>
      <c r="N1980" s="296"/>
    </row>
    <row r="1981" spans="1:14" s="20" customFormat="1" ht="30">
      <c r="A1981" s="238" t="s">
        <v>1045</v>
      </c>
      <c r="B1981" s="231" t="s">
        <v>1820</v>
      </c>
      <c r="C1981" s="32" t="s">
        <v>946</v>
      </c>
      <c r="D1981" s="239">
        <v>21010101</v>
      </c>
      <c r="E1981" s="135" t="s">
        <v>725</v>
      </c>
      <c r="F1981" s="138">
        <v>75425792.84366405</v>
      </c>
      <c r="G1981" s="297">
        <v>75425792.84366405</v>
      </c>
      <c r="H1981" s="297"/>
      <c r="I1981" s="297"/>
      <c r="J1981" s="28">
        <v>75425792.84366405</v>
      </c>
      <c r="K1981" s="488"/>
      <c r="L1981" s="467">
        <v>75425792.84366405</v>
      </c>
      <c r="M1981" s="297">
        <f>G1981*10%+G1981</f>
        <v>82968372.128030449</v>
      </c>
      <c r="N1981" s="297">
        <f>M1981*10%+M1981</f>
        <v>91265209.3408335</v>
      </c>
    </row>
    <row r="1982" spans="1:14" s="20" customFormat="1">
      <c r="A1982" s="238"/>
      <c r="B1982" s="231"/>
      <c r="C1982" s="30" t="s">
        <v>1842</v>
      </c>
      <c r="D1982" s="23"/>
      <c r="E1982" s="25"/>
      <c r="F1982" s="137">
        <f>SUM(F1981)</f>
        <v>75425792.84366405</v>
      </c>
      <c r="G1982" s="114">
        <f>SUM(G1981)</f>
        <v>75425792.84366405</v>
      </c>
      <c r="H1982" s="114">
        <f t="shared" ref="H1982:M1982" si="348">SUM(H1981)</f>
        <v>0</v>
      </c>
      <c r="I1982" s="114">
        <f t="shared" si="348"/>
        <v>0</v>
      </c>
      <c r="J1982" s="114">
        <f>SUM(J1981)</f>
        <v>75425792.84366405</v>
      </c>
      <c r="K1982" s="490"/>
      <c r="L1982" s="468">
        <f>SUM(L1981)</f>
        <v>75425792.84366405</v>
      </c>
      <c r="M1982" s="114">
        <f t="shared" si="348"/>
        <v>82968372.128030449</v>
      </c>
      <c r="N1982" s="114">
        <f>SUM(N1981)</f>
        <v>91265209.3408335</v>
      </c>
    </row>
    <row r="1983" spans="1:14" s="20" customFormat="1">
      <c r="A1983" s="253"/>
      <c r="B1983" s="231"/>
      <c r="C1983" s="32" t="s">
        <v>47</v>
      </c>
      <c r="D1983" s="239">
        <v>22020105</v>
      </c>
      <c r="E1983" s="135" t="s">
        <v>1733</v>
      </c>
      <c r="F1983" s="138">
        <v>216000</v>
      </c>
      <c r="G1983" s="297">
        <v>216000</v>
      </c>
      <c r="H1983" s="297"/>
      <c r="I1983" s="297"/>
      <c r="J1983" s="28">
        <v>216000</v>
      </c>
      <c r="K1983" s="488">
        <f>J1983*4.38%</f>
        <v>9460.7999999999993</v>
      </c>
      <c r="L1983" s="469">
        <v>206539.2</v>
      </c>
      <c r="M1983" s="297">
        <v>216000</v>
      </c>
      <c r="N1983" s="297">
        <v>216000</v>
      </c>
    </row>
    <row r="1984" spans="1:14" s="20" customFormat="1">
      <c r="A1984" s="253"/>
      <c r="B1984" s="231"/>
      <c r="C1984" s="32" t="s">
        <v>47</v>
      </c>
      <c r="D1984" s="239">
        <v>22020108</v>
      </c>
      <c r="E1984" s="135" t="s">
        <v>812</v>
      </c>
      <c r="F1984" s="138">
        <v>360000</v>
      </c>
      <c r="G1984" s="297">
        <v>360000</v>
      </c>
      <c r="H1984" s="297"/>
      <c r="I1984" s="297"/>
      <c r="J1984" s="28">
        <v>360000</v>
      </c>
      <c r="K1984" s="488">
        <f t="shared" ref="K1984:K1998" si="349">J1984*4.38%</f>
        <v>15768</v>
      </c>
      <c r="L1984" s="469">
        <v>344232</v>
      </c>
      <c r="M1984" s="297">
        <v>360000</v>
      </c>
      <c r="N1984" s="297">
        <v>360000</v>
      </c>
    </row>
    <row r="1985" spans="1:14" s="20" customFormat="1">
      <c r="A1985" s="253"/>
      <c r="B1985" s="231"/>
      <c r="C1985" s="32" t="s">
        <v>47</v>
      </c>
      <c r="D1985" s="239">
        <v>22020114</v>
      </c>
      <c r="E1985" s="135" t="s">
        <v>830</v>
      </c>
      <c r="F1985" s="138">
        <v>140000</v>
      </c>
      <c r="G1985" s="297">
        <v>140000</v>
      </c>
      <c r="H1985" s="297"/>
      <c r="I1985" s="297"/>
      <c r="J1985" s="28">
        <v>140000</v>
      </c>
      <c r="K1985" s="488">
        <f t="shared" si="349"/>
        <v>6132</v>
      </c>
      <c r="L1985" s="469">
        <v>133868</v>
      </c>
      <c r="M1985" s="297">
        <v>140000</v>
      </c>
      <c r="N1985" s="297">
        <v>140000</v>
      </c>
    </row>
    <row r="1986" spans="1:14" s="20" customFormat="1">
      <c r="A1986" s="253"/>
      <c r="B1986" s="231"/>
      <c r="C1986" s="32" t="s">
        <v>47</v>
      </c>
      <c r="D1986" s="239">
        <v>22020201</v>
      </c>
      <c r="E1986" s="135" t="s">
        <v>849</v>
      </c>
      <c r="F1986" s="138">
        <v>240000</v>
      </c>
      <c r="G1986" s="297">
        <v>240000</v>
      </c>
      <c r="H1986" s="297"/>
      <c r="I1986" s="297"/>
      <c r="J1986" s="28">
        <v>240000</v>
      </c>
      <c r="K1986" s="488">
        <f t="shared" si="349"/>
        <v>10512</v>
      </c>
      <c r="L1986" s="469">
        <v>229488</v>
      </c>
      <c r="M1986" s="297">
        <v>240000</v>
      </c>
      <c r="N1986" s="297">
        <v>240000</v>
      </c>
    </row>
    <row r="1987" spans="1:14" s="20" customFormat="1">
      <c r="A1987" s="253"/>
      <c r="B1987" s="231"/>
      <c r="C1987" s="32" t="s">
        <v>47</v>
      </c>
      <c r="D1987" s="239">
        <v>22020205</v>
      </c>
      <c r="E1987" s="135" t="s">
        <v>850</v>
      </c>
      <c r="F1987" s="138">
        <v>120000</v>
      </c>
      <c r="G1987" s="297">
        <v>120000</v>
      </c>
      <c r="H1987" s="297"/>
      <c r="I1987" s="297"/>
      <c r="J1987" s="28">
        <v>120000</v>
      </c>
      <c r="K1987" s="488">
        <f t="shared" si="349"/>
        <v>5256</v>
      </c>
      <c r="L1987" s="469">
        <v>114744</v>
      </c>
      <c r="M1987" s="297">
        <v>60000</v>
      </c>
      <c r="N1987" s="297">
        <v>120000</v>
      </c>
    </row>
    <row r="1988" spans="1:14" s="20" customFormat="1">
      <c r="A1988" s="253"/>
      <c r="B1988" s="231"/>
      <c r="C1988" s="32" t="s">
        <v>47</v>
      </c>
      <c r="D1988" s="239">
        <v>22020301</v>
      </c>
      <c r="E1988" s="135" t="s">
        <v>737</v>
      </c>
      <c r="F1988" s="138">
        <v>242100</v>
      </c>
      <c r="G1988" s="297">
        <v>242100</v>
      </c>
      <c r="H1988" s="297"/>
      <c r="I1988" s="297"/>
      <c r="J1988" s="28">
        <v>242100</v>
      </c>
      <c r="K1988" s="488">
        <f t="shared" si="349"/>
        <v>10603.98</v>
      </c>
      <c r="L1988" s="469">
        <v>231496.02000000002</v>
      </c>
      <c r="M1988" s="297">
        <v>170100</v>
      </c>
      <c r="N1988" s="297">
        <v>242100</v>
      </c>
    </row>
    <row r="1989" spans="1:14" s="20" customFormat="1">
      <c r="A1989" s="253"/>
      <c r="B1989" s="231"/>
      <c r="C1989" s="32" t="s">
        <v>47</v>
      </c>
      <c r="D1989" s="239">
        <v>22020303</v>
      </c>
      <c r="E1989" s="135" t="s">
        <v>738</v>
      </c>
      <c r="F1989" s="138">
        <v>150000</v>
      </c>
      <c r="G1989" s="297">
        <v>150000</v>
      </c>
      <c r="H1989" s="297"/>
      <c r="I1989" s="297"/>
      <c r="J1989" s="28">
        <v>150000</v>
      </c>
      <c r="K1989" s="488">
        <f t="shared" si="349"/>
        <v>6570</v>
      </c>
      <c r="L1989" s="469">
        <v>143430</v>
      </c>
      <c r="M1989" s="297">
        <v>150000</v>
      </c>
      <c r="N1989" s="297">
        <v>150000</v>
      </c>
    </row>
    <row r="1990" spans="1:14" s="20" customFormat="1">
      <c r="A1990" s="253"/>
      <c r="B1990" s="231"/>
      <c r="C1990" s="32" t="s">
        <v>47</v>
      </c>
      <c r="D1990" s="239">
        <v>22020305</v>
      </c>
      <c r="E1990" s="135" t="s">
        <v>755</v>
      </c>
      <c r="F1990" s="138">
        <v>12000</v>
      </c>
      <c r="G1990" s="297">
        <v>12000</v>
      </c>
      <c r="H1990" s="297"/>
      <c r="I1990" s="297"/>
      <c r="J1990" s="28">
        <v>12000</v>
      </c>
      <c r="K1990" s="488">
        <f t="shared" si="349"/>
        <v>525.6</v>
      </c>
      <c r="L1990" s="469">
        <v>11474.400000000001</v>
      </c>
      <c r="M1990" s="297">
        <v>12000</v>
      </c>
      <c r="N1990" s="297">
        <v>12000</v>
      </c>
    </row>
    <row r="1991" spans="1:14" s="20" customFormat="1">
      <c r="A1991" s="253"/>
      <c r="B1991" s="231"/>
      <c r="C1991" s="32" t="s">
        <v>47</v>
      </c>
      <c r="D1991" s="239">
        <v>22020307</v>
      </c>
      <c r="E1991" s="135" t="s">
        <v>822</v>
      </c>
      <c r="F1991" s="138">
        <v>294000</v>
      </c>
      <c r="G1991" s="297">
        <v>294000</v>
      </c>
      <c r="H1991" s="297"/>
      <c r="I1991" s="297"/>
      <c r="J1991" s="28">
        <v>294000</v>
      </c>
      <c r="K1991" s="488">
        <f t="shared" si="349"/>
        <v>12877.199999999999</v>
      </c>
      <c r="L1991" s="469">
        <v>281122.8</v>
      </c>
      <c r="M1991" s="297">
        <v>444000</v>
      </c>
      <c r="N1991" s="297">
        <v>444000</v>
      </c>
    </row>
    <row r="1992" spans="1:14" s="20" customFormat="1">
      <c r="A1992" s="253"/>
      <c r="B1992" s="231"/>
      <c r="C1992" s="32" t="s">
        <v>47</v>
      </c>
      <c r="D1992" s="239">
        <v>22020310</v>
      </c>
      <c r="E1992" s="135" t="s">
        <v>819</v>
      </c>
      <c r="F1992" s="138">
        <v>195900</v>
      </c>
      <c r="G1992" s="297">
        <v>195900</v>
      </c>
      <c r="H1992" s="297"/>
      <c r="I1992" s="297"/>
      <c r="J1992" s="28">
        <v>195900</v>
      </c>
      <c r="K1992" s="488">
        <f t="shared" si="349"/>
        <v>8580.42</v>
      </c>
      <c r="L1992" s="469">
        <v>187319.58000000002</v>
      </c>
      <c r="M1992" s="297">
        <v>195900</v>
      </c>
      <c r="N1992" s="297">
        <v>195900</v>
      </c>
    </row>
    <row r="1993" spans="1:14" s="20" customFormat="1">
      <c r="A1993" s="253"/>
      <c r="B1993" s="231"/>
      <c r="C1993" s="32" t="s">
        <v>47</v>
      </c>
      <c r="D1993" s="239">
        <v>22020403</v>
      </c>
      <c r="E1993" s="135" t="s">
        <v>781</v>
      </c>
      <c r="F1993" s="138">
        <v>580000</v>
      </c>
      <c r="G1993" s="297">
        <v>580000</v>
      </c>
      <c r="H1993" s="297"/>
      <c r="I1993" s="297"/>
      <c r="J1993" s="28">
        <v>580000</v>
      </c>
      <c r="K1993" s="488">
        <f t="shared" si="349"/>
        <v>25404</v>
      </c>
      <c r="L1993" s="469">
        <v>554596</v>
      </c>
      <c r="M1993" s="297">
        <v>180000</v>
      </c>
      <c r="N1993" s="297">
        <v>180000</v>
      </c>
    </row>
    <row r="1994" spans="1:14" s="20" customFormat="1">
      <c r="A1994" s="253"/>
      <c r="B1994" s="231"/>
      <c r="C1994" s="32" t="s">
        <v>47</v>
      </c>
      <c r="D1994" s="239">
        <v>22020605</v>
      </c>
      <c r="E1994" s="135" t="s">
        <v>768</v>
      </c>
      <c r="F1994" s="138">
        <v>231900</v>
      </c>
      <c r="G1994" s="297">
        <v>231900</v>
      </c>
      <c r="H1994" s="297"/>
      <c r="I1994" s="297"/>
      <c r="J1994" s="28">
        <v>231900</v>
      </c>
      <c r="K1994" s="488">
        <f t="shared" si="349"/>
        <v>10157.219999999999</v>
      </c>
      <c r="L1994" s="469">
        <v>221742.78</v>
      </c>
      <c r="M1994" s="297">
        <v>231900</v>
      </c>
      <c r="N1994" s="297">
        <v>231900</v>
      </c>
    </row>
    <row r="1995" spans="1:14" s="20" customFormat="1">
      <c r="A1995" s="253"/>
      <c r="B1995" s="231"/>
      <c r="C1995" s="32" t="s">
        <v>47</v>
      </c>
      <c r="D1995" s="239">
        <v>22020709</v>
      </c>
      <c r="E1995" s="135" t="s">
        <v>771</v>
      </c>
      <c r="F1995" s="138">
        <v>350000</v>
      </c>
      <c r="G1995" s="297">
        <v>350000</v>
      </c>
      <c r="H1995" s="297"/>
      <c r="I1995" s="297"/>
      <c r="J1995" s="28">
        <v>350000</v>
      </c>
      <c r="K1995" s="488">
        <f t="shared" si="349"/>
        <v>15330</v>
      </c>
      <c r="L1995" s="469">
        <v>334670</v>
      </c>
      <c r="M1995" s="297">
        <v>350000</v>
      </c>
      <c r="N1995" s="297">
        <v>350000</v>
      </c>
    </row>
    <row r="1996" spans="1:14" s="20" customFormat="1">
      <c r="A1996" s="253"/>
      <c r="B1996" s="231"/>
      <c r="C1996" s="32" t="s">
        <v>47</v>
      </c>
      <c r="D1996" s="77">
        <v>22021001</v>
      </c>
      <c r="E1996" s="240" t="s">
        <v>772</v>
      </c>
      <c r="F1996" s="138">
        <v>45000</v>
      </c>
      <c r="G1996" s="297">
        <v>45000</v>
      </c>
      <c r="H1996" s="297"/>
      <c r="I1996" s="297"/>
      <c r="J1996" s="28">
        <v>45000</v>
      </c>
      <c r="K1996" s="488">
        <f t="shared" si="349"/>
        <v>1971</v>
      </c>
      <c r="L1996" s="469">
        <v>43029</v>
      </c>
      <c r="M1996" s="297">
        <v>45000</v>
      </c>
      <c r="N1996" s="297">
        <v>45000</v>
      </c>
    </row>
    <row r="1997" spans="1:14" s="20" customFormat="1">
      <c r="A1997" s="253"/>
      <c r="B1997" s="231"/>
      <c r="C1997" s="32" t="s">
        <v>47</v>
      </c>
      <c r="D1997" s="239">
        <v>22021009</v>
      </c>
      <c r="E1997" s="135" t="s">
        <v>873</v>
      </c>
      <c r="F1997" s="138">
        <v>420000</v>
      </c>
      <c r="G1997" s="297">
        <v>300000</v>
      </c>
      <c r="H1997" s="297"/>
      <c r="I1997" s="297"/>
      <c r="J1997" s="28">
        <v>300000</v>
      </c>
      <c r="K1997" s="488">
        <f t="shared" si="349"/>
        <v>13140</v>
      </c>
      <c r="L1997" s="469">
        <v>286860</v>
      </c>
      <c r="M1997" s="297">
        <v>360000</v>
      </c>
      <c r="N1997" s="297">
        <v>420000</v>
      </c>
    </row>
    <row r="1998" spans="1:14" s="20" customFormat="1">
      <c r="A1998" s="238"/>
      <c r="B1998" s="231"/>
      <c r="C1998" s="30" t="s">
        <v>1837</v>
      </c>
      <c r="D1998" s="23"/>
      <c r="E1998" s="25"/>
      <c r="F1998" s="137">
        <f>SUM(F1983:F1997)</f>
        <v>3596900</v>
      </c>
      <c r="G1998" s="114">
        <f>SUM(G1983:G1997)</f>
        <v>3476900</v>
      </c>
      <c r="H1998" s="114">
        <f t="shared" ref="H1998:I1998" si="350">SUM(H1983:H1997)</f>
        <v>0</v>
      </c>
      <c r="I1998" s="114">
        <f t="shared" si="350"/>
        <v>0</v>
      </c>
      <c r="J1998" s="114">
        <f>SUM(J1983:J1997)</f>
        <v>3476900</v>
      </c>
      <c r="K1998" s="490">
        <f t="shared" si="349"/>
        <v>152288.22</v>
      </c>
      <c r="L1998" s="468">
        <f>SUM(L1983:L1997)</f>
        <v>3324611.78</v>
      </c>
      <c r="M1998" s="114">
        <f>SUM(M1983:M1997)</f>
        <v>3154900</v>
      </c>
      <c r="N1998" s="114">
        <f>SUM(N1983:N1997)</f>
        <v>3346900</v>
      </c>
    </row>
    <row r="1999" spans="1:14" s="66" customFormat="1" ht="30">
      <c r="A1999" s="238" t="s">
        <v>1045</v>
      </c>
      <c r="B1999" s="231" t="s">
        <v>1821</v>
      </c>
      <c r="C1999" s="30"/>
      <c r="D1999" s="23"/>
      <c r="E1999" s="25"/>
      <c r="F1999" s="137">
        <f>F1998+F1982</f>
        <v>79022692.84366405</v>
      </c>
      <c r="G1999" s="114">
        <f>G1998+G1982</f>
        <v>78902692.84366405</v>
      </c>
      <c r="H1999" s="114">
        <f t="shared" ref="H1999:I1999" si="351">H1998+H1982</f>
        <v>0</v>
      </c>
      <c r="I1999" s="114">
        <f t="shared" si="351"/>
        <v>0</v>
      </c>
      <c r="J1999" s="114">
        <f>J1998+J1982</f>
        <v>78902692.84366405</v>
      </c>
      <c r="K1999" s="490"/>
      <c r="L1999" s="468">
        <f>L1998+L1982</f>
        <v>78750404.623664051</v>
      </c>
      <c r="M1999" s="114">
        <f>M1982+M1998</f>
        <v>86123272.128030449</v>
      </c>
      <c r="N1999" s="114">
        <f>N1982+N1998</f>
        <v>94612109.3408335</v>
      </c>
    </row>
    <row r="2000" spans="1:14" s="20" customFormat="1" ht="21">
      <c r="A2000" s="252"/>
      <c r="B2000" s="443"/>
      <c r="C2000" s="228"/>
      <c r="D2000" s="229"/>
      <c r="E2000" s="230"/>
      <c r="F2000" s="215"/>
      <c r="G2000" s="296"/>
      <c r="H2000" s="296"/>
      <c r="I2000" s="296"/>
      <c r="J2000" s="28"/>
      <c r="K2000" s="488"/>
      <c r="L2000" s="468"/>
      <c r="M2000" s="296"/>
      <c r="N2000" s="296"/>
    </row>
    <row r="2001" spans="1:14" s="20" customFormat="1" ht="30">
      <c r="A2001" s="238" t="s">
        <v>1046</v>
      </c>
      <c r="B2001" s="231" t="s">
        <v>1699</v>
      </c>
      <c r="C2001" s="32" t="s">
        <v>946</v>
      </c>
      <c r="D2001" s="239">
        <v>21010101</v>
      </c>
      <c r="E2001" s="135" t="s">
        <v>725</v>
      </c>
      <c r="F2001" s="138">
        <v>31297630.559999999</v>
      </c>
      <c r="G2001" s="297">
        <v>31297630.559999999</v>
      </c>
      <c r="H2001" s="297"/>
      <c r="I2001" s="297"/>
      <c r="J2001" s="28">
        <v>31297630.559999999</v>
      </c>
      <c r="K2001" s="488"/>
      <c r="L2001" s="467">
        <v>31297630.559999999</v>
      </c>
      <c r="M2001" s="297">
        <v>32004922.559999999</v>
      </c>
      <c r="N2001" s="297">
        <v>32774570.52</v>
      </c>
    </row>
    <row r="2002" spans="1:14" s="20" customFormat="1">
      <c r="A2002" s="253"/>
      <c r="B2002" s="231"/>
      <c r="C2002" s="32" t="s">
        <v>946</v>
      </c>
      <c r="D2002" s="239">
        <v>21020101</v>
      </c>
      <c r="E2002" s="135" t="s">
        <v>726</v>
      </c>
      <c r="F2002" s="138">
        <v>7525047.2400000002</v>
      </c>
      <c r="G2002" s="297">
        <v>7525047.2400000002</v>
      </c>
      <c r="H2002" s="297"/>
      <c r="I2002" s="297"/>
      <c r="J2002" s="28">
        <v>7525047.2400000002</v>
      </c>
      <c r="K2002" s="488"/>
      <c r="L2002" s="467">
        <v>7525047.2400000002</v>
      </c>
      <c r="M2002" s="297">
        <v>7702836.5700000003</v>
      </c>
      <c r="N2002" s="297">
        <v>7895248.5599999996</v>
      </c>
    </row>
    <row r="2003" spans="1:14" s="20" customFormat="1">
      <c r="A2003" s="253"/>
      <c r="B2003" s="231"/>
      <c r="C2003" s="32" t="s">
        <v>946</v>
      </c>
      <c r="D2003" s="239">
        <v>21020102</v>
      </c>
      <c r="E2003" s="135" t="s">
        <v>727</v>
      </c>
      <c r="F2003" s="138">
        <v>3010407.48</v>
      </c>
      <c r="G2003" s="297">
        <v>3010407.48</v>
      </c>
      <c r="H2003" s="297"/>
      <c r="I2003" s="297"/>
      <c r="J2003" s="28">
        <v>3010407.48</v>
      </c>
      <c r="K2003" s="488"/>
      <c r="L2003" s="467">
        <v>3010407.48</v>
      </c>
      <c r="M2003" s="297">
        <v>3081314.7</v>
      </c>
      <c r="N2003" s="297">
        <v>3158099.42</v>
      </c>
    </row>
    <row r="2004" spans="1:14" s="20" customFormat="1">
      <c r="A2004" s="253"/>
      <c r="B2004" s="231"/>
      <c r="C2004" s="32" t="s">
        <v>946</v>
      </c>
      <c r="D2004" s="239">
        <v>21020103</v>
      </c>
      <c r="E2004" s="135" t="s">
        <v>728</v>
      </c>
      <c r="F2004" s="138">
        <v>1507603.32</v>
      </c>
      <c r="G2004" s="297">
        <v>1507603.32</v>
      </c>
      <c r="H2004" s="297"/>
      <c r="I2004" s="297"/>
      <c r="J2004" s="28">
        <v>1507603.32</v>
      </c>
      <c r="K2004" s="488"/>
      <c r="L2004" s="467">
        <v>1507603.32</v>
      </c>
      <c r="M2004" s="297">
        <v>1540567.31</v>
      </c>
      <c r="N2004" s="297">
        <v>1579049.71</v>
      </c>
    </row>
    <row r="2005" spans="1:14" s="20" customFormat="1">
      <c r="A2005" s="253"/>
      <c r="B2005" s="231"/>
      <c r="C2005" s="32" t="s">
        <v>946</v>
      </c>
      <c r="D2005" s="239">
        <v>21020104</v>
      </c>
      <c r="E2005" s="135" t="s">
        <v>729</v>
      </c>
      <c r="F2005" s="138">
        <v>1507603.32</v>
      </c>
      <c r="G2005" s="297">
        <v>1507603.32</v>
      </c>
      <c r="H2005" s="297"/>
      <c r="I2005" s="297"/>
      <c r="J2005" s="28">
        <v>1507603.32</v>
      </c>
      <c r="K2005" s="488"/>
      <c r="L2005" s="467">
        <v>1507603.32</v>
      </c>
      <c r="M2005" s="297">
        <v>1540567.31</v>
      </c>
      <c r="N2005" s="297">
        <v>1579049.71</v>
      </c>
    </row>
    <row r="2006" spans="1:14" s="20" customFormat="1">
      <c r="A2006" s="253"/>
      <c r="B2006" s="231"/>
      <c r="C2006" s="32" t="s">
        <v>946</v>
      </c>
      <c r="D2006" s="239">
        <v>21020105</v>
      </c>
      <c r="E2006" s="135" t="s">
        <v>730</v>
      </c>
      <c r="F2006" s="138">
        <v>137276.4</v>
      </c>
      <c r="G2006" s="297">
        <v>137276.4</v>
      </c>
      <c r="H2006" s="297"/>
      <c r="I2006" s="297"/>
      <c r="J2006" s="28">
        <v>137276.4</v>
      </c>
      <c r="K2006" s="488"/>
      <c r="L2006" s="467">
        <v>137276.4</v>
      </c>
      <c r="M2006" s="297">
        <v>138315.88</v>
      </c>
      <c r="N2006" s="297">
        <v>142472.95000000001</v>
      </c>
    </row>
    <row r="2007" spans="1:14" s="20" customFormat="1">
      <c r="A2007" s="253"/>
      <c r="B2007" s="231"/>
      <c r="C2007" s="32" t="s">
        <v>946</v>
      </c>
      <c r="D2007" s="239">
        <v>21020106</v>
      </c>
      <c r="E2007" s="135" t="s">
        <v>731</v>
      </c>
      <c r="F2007" s="138">
        <v>36220629.479999997</v>
      </c>
      <c r="G2007" s="297">
        <v>36220629.479999997</v>
      </c>
      <c r="H2007" s="297"/>
      <c r="I2007" s="297"/>
      <c r="J2007" s="28">
        <v>36220629.479999997</v>
      </c>
      <c r="K2007" s="488"/>
      <c r="L2007" s="467">
        <v>36220629.479999997</v>
      </c>
      <c r="M2007" s="297">
        <v>36973615.539999999</v>
      </c>
      <c r="N2007" s="297">
        <v>37897193.090000004</v>
      </c>
    </row>
    <row r="2008" spans="1:14" s="20" customFormat="1">
      <c r="A2008" s="253"/>
      <c r="B2008" s="231"/>
      <c r="C2008" s="32" t="s">
        <v>946</v>
      </c>
      <c r="D2008" s="239">
        <v>21020107</v>
      </c>
      <c r="E2008" s="135" t="s">
        <v>732</v>
      </c>
      <c r="F2008" s="138">
        <v>1296000</v>
      </c>
      <c r="G2008" s="297">
        <v>1296000</v>
      </c>
      <c r="H2008" s="297"/>
      <c r="I2008" s="297"/>
      <c r="J2008" s="28">
        <v>1296000</v>
      </c>
      <c r="K2008" s="488"/>
      <c r="L2008" s="467">
        <v>1296000</v>
      </c>
      <c r="M2008" s="297">
        <v>1296000</v>
      </c>
      <c r="N2008" s="297">
        <v>1296000</v>
      </c>
    </row>
    <row r="2009" spans="1:14" s="20" customFormat="1">
      <c r="A2009" s="253"/>
      <c r="B2009" s="231"/>
      <c r="C2009" s="32" t="s">
        <v>946</v>
      </c>
      <c r="D2009" s="239">
        <v>21020110</v>
      </c>
      <c r="E2009" s="135" t="s">
        <v>733</v>
      </c>
      <c r="F2009" s="138">
        <v>121430.39999999999</v>
      </c>
      <c r="G2009" s="297">
        <v>121430.39999999999</v>
      </c>
      <c r="H2009" s="297"/>
      <c r="I2009" s="297"/>
      <c r="J2009" s="28">
        <v>121430.39999999999</v>
      </c>
      <c r="K2009" s="488"/>
      <c r="L2009" s="467">
        <v>121430.39999999999</v>
      </c>
      <c r="M2009" s="297">
        <v>121430.39999999999</v>
      </c>
      <c r="N2009" s="297">
        <v>121430.39999999999</v>
      </c>
    </row>
    <row r="2010" spans="1:14" s="20" customFormat="1">
      <c r="A2010" s="253"/>
      <c r="B2010" s="231"/>
      <c r="C2010" s="32" t="s">
        <v>946</v>
      </c>
      <c r="D2010" s="239">
        <v>21020124</v>
      </c>
      <c r="E2010" s="135" t="s">
        <v>734</v>
      </c>
      <c r="F2010" s="138">
        <v>42000</v>
      </c>
      <c r="G2010" s="297">
        <v>42000</v>
      </c>
      <c r="H2010" s="297"/>
      <c r="I2010" s="297"/>
      <c r="J2010" s="28">
        <v>42000</v>
      </c>
      <c r="K2010" s="488"/>
      <c r="L2010" s="467">
        <v>42000</v>
      </c>
      <c r="M2010" s="297">
        <v>42000</v>
      </c>
      <c r="N2010" s="297">
        <v>42000</v>
      </c>
    </row>
    <row r="2011" spans="1:14" s="20" customFormat="1">
      <c r="A2011" s="253"/>
      <c r="B2011" s="231"/>
      <c r="C2011" s="32" t="s">
        <v>946</v>
      </c>
      <c r="D2011" s="239">
        <v>21020143</v>
      </c>
      <c r="E2011" s="135" t="s">
        <v>981</v>
      </c>
      <c r="F2011" s="138">
        <v>6910978.7999999998</v>
      </c>
      <c r="G2011" s="297">
        <v>6910978.7999999998</v>
      </c>
      <c r="H2011" s="297"/>
      <c r="I2011" s="297"/>
      <c r="J2011" s="28">
        <v>6910978.7999999998</v>
      </c>
      <c r="K2011" s="488"/>
      <c r="L2011" s="467">
        <v>6910978.7999999998</v>
      </c>
      <c r="M2011" s="297">
        <v>7071910.3600000003</v>
      </c>
      <c r="N2011" s="297">
        <v>7249989.8099999996</v>
      </c>
    </row>
    <row r="2012" spans="1:14" s="20" customFormat="1">
      <c r="A2012" s="253"/>
      <c r="B2012" s="231"/>
      <c r="C2012" s="32" t="s">
        <v>946</v>
      </c>
      <c r="D2012" s="239">
        <v>21020150</v>
      </c>
      <c r="E2012" s="135" t="s">
        <v>982</v>
      </c>
      <c r="F2012" s="138">
        <v>1256541.6000000001</v>
      </c>
      <c r="G2012" s="297">
        <v>1256541.6000000001</v>
      </c>
      <c r="H2012" s="297"/>
      <c r="I2012" s="297"/>
      <c r="J2012" s="28">
        <v>1256541.6000000001</v>
      </c>
      <c r="K2012" s="488"/>
      <c r="L2012" s="467">
        <v>1256541.6000000001</v>
      </c>
      <c r="M2012" s="297">
        <v>1285801.8799999999</v>
      </c>
      <c r="N2012" s="297">
        <v>1318179.97</v>
      </c>
    </row>
    <row r="2013" spans="1:14" s="20" customFormat="1">
      <c r="A2013" s="238"/>
      <c r="B2013" s="231"/>
      <c r="C2013" s="30" t="s">
        <v>1836</v>
      </c>
      <c r="D2013" s="23"/>
      <c r="E2013" s="25"/>
      <c r="F2013" s="137">
        <f>SUM(F2001:F2012)</f>
        <v>90833148.599999979</v>
      </c>
      <c r="G2013" s="114">
        <f>SUM(G2001:G2012)</f>
        <v>90833148.599999979</v>
      </c>
      <c r="H2013" s="114">
        <f t="shared" ref="H2013:I2013" si="352">SUM(H2001:H2012)</f>
        <v>0</v>
      </c>
      <c r="I2013" s="114">
        <f t="shared" si="352"/>
        <v>0</v>
      </c>
      <c r="J2013" s="114">
        <f>SUM(J2001:J2012)</f>
        <v>90833148.599999979</v>
      </c>
      <c r="K2013" s="490"/>
      <c r="L2013" s="468">
        <f>SUM(L2001:L2012)</f>
        <v>90833148.599999979</v>
      </c>
      <c r="M2013" s="114">
        <f>SUM(M2001:M2012)</f>
        <v>92799282.510000005</v>
      </c>
      <c r="N2013" s="114">
        <f>SUM(N2001:N2012)</f>
        <v>95053284.140000015</v>
      </c>
    </row>
    <row r="2014" spans="1:14" s="20" customFormat="1">
      <c r="A2014" s="253"/>
      <c r="B2014" s="231"/>
      <c r="C2014" s="32" t="s">
        <v>47</v>
      </c>
      <c r="D2014" s="239">
        <v>22020105</v>
      </c>
      <c r="E2014" s="135" t="s">
        <v>1733</v>
      </c>
      <c r="F2014" s="138">
        <v>210800</v>
      </c>
      <c r="G2014" s="297">
        <v>210800</v>
      </c>
      <c r="H2014" s="297"/>
      <c r="I2014" s="297"/>
      <c r="J2014" s="28">
        <v>210800</v>
      </c>
      <c r="K2014" s="488">
        <f>J2014*4.38%</f>
        <v>9233.0399999999991</v>
      </c>
      <c r="L2014" s="469">
        <v>201566.96000000002</v>
      </c>
      <c r="M2014" s="297">
        <v>210800</v>
      </c>
      <c r="N2014" s="297">
        <v>210800</v>
      </c>
    </row>
    <row r="2015" spans="1:14" s="20" customFormat="1">
      <c r="A2015" s="253"/>
      <c r="B2015" s="231"/>
      <c r="C2015" s="32" t="s">
        <v>47</v>
      </c>
      <c r="D2015" s="239">
        <v>22020108</v>
      </c>
      <c r="E2015" s="135" t="s">
        <v>812</v>
      </c>
      <c r="F2015" s="138">
        <v>14000</v>
      </c>
      <c r="G2015" s="297">
        <v>14000</v>
      </c>
      <c r="H2015" s="297"/>
      <c r="I2015" s="297"/>
      <c r="J2015" s="28">
        <v>14000</v>
      </c>
      <c r="K2015" s="488">
        <f t="shared" ref="K2015:K2031" si="353">J2015*4.38%</f>
        <v>613.19999999999993</v>
      </c>
      <c r="L2015" s="469">
        <v>13386.800000000001</v>
      </c>
      <c r="M2015" s="297">
        <v>14000</v>
      </c>
      <c r="N2015" s="297">
        <v>14000</v>
      </c>
    </row>
    <row r="2016" spans="1:14" s="20" customFormat="1">
      <c r="A2016" s="253"/>
      <c r="B2016" s="231"/>
      <c r="C2016" s="32" t="s">
        <v>47</v>
      </c>
      <c r="D2016" s="239">
        <v>22020201</v>
      </c>
      <c r="E2016" s="135" t="s">
        <v>849</v>
      </c>
      <c r="F2016" s="138">
        <v>105750</v>
      </c>
      <c r="G2016" s="297">
        <v>105750</v>
      </c>
      <c r="H2016" s="297"/>
      <c r="I2016" s="297"/>
      <c r="J2016" s="28">
        <v>105750</v>
      </c>
      <c r="K2016" s="488">
        <f t="shared" si="353"/>
        <v>4631.8499999999995</v>
      </c>
      <c r="L2016" s="469">
        <v>101118.15000000001</v>
      </c>
      <c r="M2016" s="297">
        <v>105750</v>
      </c>
      <c r="N2016" s="297">
        <v>105750</v>
      </c>
    </row>
    <row r="2017" spans="1:14" s="20" customFormat="1">
      <c r="A2017" s="253"/>
      <c r="B2017" s="231"/>
      <c r="C2017" s="32" t="s">
        <v>47</v>
      </c>
      <c r="D2017" s="239">
        <v>22020205</v>
      </c>
      <c r="E2017" s="135" t="s">
        <v>850</v>
      </c>
      <c r="F2017" s="138">
        <v>85500</v>
      </c>
      <c r="G2017" s="297">
        <v>85500</v>
      </c>
      <c r="H2017" s="297"/>
      <c r="I2017" s="297"/>
      <c r="J2017" s="28">
        <v>85500</v>
      </c>
      <c r="K2017" s="488">
        <f t="shared" si="353"/>
        <v>3744.9</v>
      </c>
      <c r="L2017" s="469">
        <v>81755.100000000006</v>
      </c>
      <c r="M2017" s="297">
        <v>85500</v>
      </c>
      <c r="N2017" s="297">
        <v>85500</v>
      </c>
    </row>
    <row r="2018" spans="1:14" s="20" customFormat="1">
      <c r="A2018" s="253"/>
      <c r="B2018" s="231"/>
      <c r="C2018" s="32" t="s">
        <v>47</v>
      </c>
      <c r="D2018" s="239">
        <v>22020209</v>
      </c>
      <c r="E2018" s="135" t="s">
        <v>750</v>
      </c>
      <c r="F2018" s="138">
        <v>10000</v>
      </c>
      <c r="G2018" s="297">
        <v>10000</v>
      </c>
      <c r="H2018" s="297"/>
      <c r="I2018" s="297"/>
      <c r="J2018" s="28">
        <v>10000</v>
      </c>
      <c r="K2018" s="488">
        <f t="shared" si="353"/>
        <v>438</v>
      </c>
      <c r="L2018" s="469">
        <v>9562</v>
      </c>
      <c r="M2018" s="297">
        <v>10000</v>
      </c>
      <c r="N2018" s="297">
        <v>10000</v>
      </c>
    </row>
    <row r="2019" spans="1:14" s="20" customFormat="1">
      <c r="A2019" s="253"/>
      <c r="B2019" s="231"/>
      <c r="C2019" s="32" t="s">
        <v>47</v>
      </c>
      <c r="D2019" s="239">
        <v>22020301</v>
      </c>
      <c r="E2019" s="135" t="s">
        <v>737</v>
      </c>
      <c r="F2019" s="138">
        <v>274400</v>
      </c>
      <c r="G2019" s="297">
        <v>274400</v>
      </c>
      <c r="H2019" s="297"/>
      <c r="I2019" s="297"/>
      <c r="J2019" s="28">
        <v>274400</v>
      </c>
      <c r="K2019" s="488">
        <f t="shared" si="353"/>
        <v>12018.72</v>
      </c>
      <c r="L2019" s="469">
        <v>262381.28000000003</v>
      </c>
      <c r="M2019" s="297">
        <v>274400</v>
      </c>
      <c r="N2019" s="297">
        <v>274400</v>
      </c>
    </row>
    <row r="2020" spans="1:14" s="20" customFormat="1">
      <c r="A2020" s="253"/>
      <c r="B2020" s="231"/>
      <c r="C2020" s="32" t="s">
        <v>47</v>
      </c>
      <c r="D2020" s="239">
        <v>22020302</v>
      </c>
      <c r="E2020" s="135" t="s">
        <v>872</v>
      </c>
      <c r="F2020" s="138">
        <v>216000</v>
      </c>
      <c r="G2020" s="297">
        <v>216000</v>
      </c>
      <c r="H2020" s="297"/>
      <c r="I2020" s="297"/>
      <c r="J2020" s="28">
        <v>216000</v>
      </c>
      <c r="K2020" s="488">
        <f t="shared" si="353"/>
        <v>9460.7999999999993</v>
      </c>
      <c r="L2020" s="469">
        <v>206539.2</v>
      </c>
      <c r="M2020" s="297">
        <v>216000</v>
      </c>
      <c r="N2020" s="297">
        <v>216000</v>
      </c>
    </row>
    <row r="2021" spans="1:14" s="20" customFormat="1">
      <c r="A2021" s="253"/>
      <c r="B2021" s="231"/>
      <c r="C2021" s="32" t="s">
        <v>47</v>
      </c>
      <c r="D2021" s="239">
        <v>22020305</v>
      </c>
      <c r="E2021" s="135" t="s">
        <v>755</v>
      </c>
      <c r="F2021" s="138">
        <v>229300</v>
      </c>
      <c r="G2021" s="297">
        <v>229300</v>
      </c>
      <c r="H2021" s="297"/>
      <c r="I2021" s="297"/>
      <c r="J2021" s="28">
        <v>229300</v>
      </c>
      <c r="K2021" s="488">
        <f t="shared" si="353"/>
        <v>10043.34</v>
      </c>
      <c r="L2021" s="469">
        <v>219256.66</v>
      </c>
      <c r="M2021" s="297">
        <v>229300</v>
      </c>
      <c r="N2021" s="297">
        <v>229300</v>
      </c>
    </row>
    <row r="2022" spans="1:14" s="20" customFormat="1">
      <c r="A2022" s="253"/>
      <c r="B2022" s="231"/>
      <c r="C2022" s="32" t="s">
        <v>47</v>
      </c>
      <c r="D2022" s="239">
        <v>22020307</v>
      </c>
      <c r="E2022" s="135" t="s">
        <v>822</v>
      </c>
      <c r="F2022" s="138">
        <v>122400</v>
      </c>
      <c r="G2022" s="297">
        <v>122400</v>
      </c>
      <c r="H2022" s="297"/>
      <c r="I2022" s="297"/>
      <c r="J2022" s="28">
        <v>122400</v>
      </c>
      <c r="K2022" s="488">
        <f t="shared" si="353"/>
        <v>5361.12</v>
      </c>
      <c r="L2022" s="469">
        <v>117038.88</v>
      </c>
      <c r="M2022" s="297">
        <v>122400</v>
      </c>
      <c r="N2022" s="297">
        <v>122400</v>
      </c>
    </row>
    <row r="2023" spans="1:14" s="20" customFormat="1">
      <c r="A2023" s="253"/>
      <c r="B2023" s="231"/>
      <c r="C2023" s="32" t="s">
        <v>47</v>
      </c>
      <c r="D2023" s="239">
        <v>22020401</v>
      </c>
      <c r="E2023" s="135" t="s">
        <v>741</v>
      </c>
      <c r="F2023" s="138">
        <v>164000</v>
      </c>
      <c r="G2023" s="297">
        <v>164000</v>
      </c>
      <c r="H2023" s="297"/>
      <c r="I2023" s="297"/>
      <c r="J2023" s="28">
        <v>164000</v>
      </c>
      <c r="K2023" s="488">
        <f t="shared" si="353"/>
        <v>7183.2</v>
      </c>
      <c r="L2023" s="469">
        <v>156816.80000000002</v>
      </c>
      <c r="M2023" s="297">
        <v>164000</v>
      </c>
      <c r="N2023" s="297">
        <v>164000</v>
      </c>
    </row>
    <row r="2024" spans="1:14" s="20" customFormat="1">
      <c r="A2024" s="253"/>
      <c r="B2024" s="231"/>
      <c r="C2024" s="32" t="s">
        <v>47</v>
      </c>
      <c r="D2024" s="239">
        <v>22020405</v>
      </c>
      <c r="E2024" s="135" t="s">
        <v>743</v>
      </c>
      <c r="F2024" s="138">
        <v>135000</v>
      </c>
      <c r="G2024" s="297">
        <v>135000</v>
      </c>
      <c r="H2024" s="297"/>
      <c r="I2024" s="297"/>
      <c r="J2024" s="28">
        <v>135000</v>
      </c>
      <c r="K2024" s="488">
        <f t="shared" si="353"/>
        <v>5913</v>
      </c>
      <c r="L2024" s="469">
        <v>129087</v>
      </c>
      <c r="M2024" s="297">
        <v>135000</v>
      </c>
      <c r="N2024" s="297">
        <v>135000</v>
      </c>
    </row>
    <row r="2025" spans="1:14" s="20" customFormat="1">
      <c r="A2025" s="253"/>
      <c r="B2025" s="231"/>
      <c r="C2025" s="32" t="s">
        <v>47</v>
      </c>
      <c r="D2025" s="239">
        <v>22020414</v>
      </c>
      <c r="E2025" s="135" t="s">
        <v>877</v>
      </c>
      <c r="F2025" s="138">
        <v>200000</v>
      </c>
      <c r="G2025" s="297">
        <v>200000</v>
      </c>
      <c r="H2025" s="297"/>
      <c r="I2025" s="297"/>
      <c r="J2025" s="28">
        <v>200000</v>
      </c>
      <c r="K2025" s="488">
        <f t="shared" si="353"/>
        <v>8760</v>
      </c>
      <c r="L2025" s="469">
        <v>191240</v>
      </c>
      <c r="M2025" s="297">
        <v>200000</v>
      </c>
      <c r="N2025" s="297">
        <v>200000</v>
      </c>
    </row>
    <row r="2026" spans="1:14" s="20" customFormat="1">
      <c r="A2026" s="253"/>
      <c r="B2026" s="231"/>
      <c r="C2026" s="32" t="s">
        <v>47</v>
      </c>
      <c r="D2026" s="239">
        <v>22020801</v>
      </c>
      <c r="E2026" s="135" t="s">
        <v>747</v>
      </c>
      <c r="F2026" s="138">
        <v>118320</v>
      </c>
      <c r="G2026" s="297">
        <v>118320</v>
      </c>
      <c r="H2026" s="297"/>
      <c r="I2026" s="297"/>
      <c r="J2026" s="28">
        <v>118320</v>
      </c>
      <c r="K2026" s="488">
        <f t="shared" si="353"/>
        <v>5182.4160000000002</v>
      </c>
      <c r="L2026" s="469">
        <v>113137.584</v>
      </c>
      <c r="M2026" s="297">
        <v>118320</v>
      </c>
      <c r="N2026" s="297">
        <v>118320</v>
      </c>
    </row>
    <row r="2027" spans="1:14" s="20" customFormat="1">
      <c r="A2027" s="253"/>
      <c r="B2027" s="231"/>
      <c r="C2027" s="32" t="s">
        <v>47</v>
      </c>
      <c r="D2027" s="239">
        <v>22020803</v>
      </c>
      <c r="E2027" s="135" t="s">
        <v>748</v>
      </c>
      <c r="F2027" s="138">
        <v>348100</v>
      </c>
      <c r="G2027" s="297">
        <v>348100</v>
      </c>
      <c r="H2027" s="297"/>
      <c r="I2027" s="297"/>
      <c r="J2027" s="28">
        <v>348100</v>
      </c>
      <c r="K2027" s="488">
        <f t="shared" si="353"/>
        <v>15246.779999999999</v>
      </c>
      <c r="L2027" s="469">
        <v>332853.22000000003</v>
      </c>
      <c r="M2027" s="297">
        <v>348100</v>
      </c>
      <c r="N2027" s="297">
        <v>348100</v>
      </c>
    </row>
    <row r="2028" spans="1:14" s="20" customFormat="1">
      <c r="A2028" s="253"/>
      <c r="B2028" s="231"/>
      <c r="C2028" s="32" t="s">
        <v>47</v>
      </c>
      <c r="D2028" s="239">
        <v>22020901</v>
      </c>
      <c r="E2028" s="135" t="s">
        <v>749</v>
      </c>
      <c r="F2028" s="138">
        <v>78492.66</v>
      </c>
      <c r="G2028" s="297">
        <v>78492.66</v>
      </c>
      <c r="H2028" s="297"/>
      <c r="I2028" s="297"/>
      <c r="J2028" s="28">
        <v>78492.66</v>
      </c>
      <c r="K2028" s="488">
        <f t="shared" si="353"/>
        <v>3437.9785080000001</v>
      </c>
      <c r="L2028" s="469">
        <v>75054.681492000003</v>
      </c>
      <c r="M2028" s="297">
        <v>78492.66</v>
      </c>
      <c r="N2028" s="297">
        <v>78492.66</v>
      </c>
    </row>
    <row r="2029" spans="1:14" s="20" customFormat="1">
      <c r="A2029" s="253"/>
      <c r="B2029" s="231"/>
      <c r="C2029" s="32" t="s">
        <v>47</v>
      </c>
      <c r="D2029" s="239">
        <v>22021001</v>
      </c>
      <c r="E2029" s="135" t="s">
        <v>772</v>
      </c>
      <c r="F2029" s="138">
        <v>386000</v>
      </c>
      <c r="G2029" s="297">
        <v>386000</v>
      </c>
      <c r="H2029" s="297"/>
      <c r="I2029" s="297"/>
      <c r="J2029" s="28">
        <v>386000</v>
      </c>
      <c r="K2029" s="488">
        <f t="shared" si="353"/>
        <v>16906.8</v>
      </c>
      <c r="L2029" s="469">
        <v>369093.2</v>
      </c>
      <c r="M2029" s="297">
        <v>386000</v>
      </c>
      <c r="N2029" s="297">
        <v>386000</v>
      </c>
    </row>
    <row r="2030" spans="1:14" s="20" customFormat="1">
      <c r="A2030" s="253"/>
      <c r="B2030" s="231"/>
      <c r="C2030" s="32" t="s">
        <v>47</v>
      </c>
      <c r="D2030" s="239">
        <v>22021009</v>
      </c>
      <c r="E2030" s="135" t="s">
        <v>873</v>
      </c>
      <c r="F2030" s="138">
        <v>292000</v>
      </c>
      <c r="G2030" s="297">
        <v>300000</v>
      </c>
      <c r="H2030" s="297"/>
      <c r="I2030" s="297"/>
      <c r="J2030" s="28">
        <v>300000</v>
      </c>
      <c r="K2030" s="488">
        <f t="shared" si="353"/>
        <v>13140</v>
      </c>
      <c r="L2030" s="469">
        <v>286860</v>
      </c>
      <c r="M2030" s="297">
        <v>292000</v>
      </c>
      <c r="N2030" s="297">
        <v>292000</v>
      </c>
    </row>
    <row r="2031" spans="1:14" s="20" customFormat="1">
      <c r="A2031" s="238"/>
      <c r="B2031" s="231"/>
      <c r="C2031" s="30" t="s">
        <v>1837</v>
      </c>
      <c r="D2031" s="23"/>
      <c r="E2031" s="25"/>
      <c r="F2031" s="137">
        <f>SUM(F2014:F2030)</f>
        <v>2990062.66</v>
      </c>
      <c r="G2031" s="114">
        <f>SUM(G2014:G2030)</f>
        <v>2998062.66</v>
      </c>
      <c r="H2031" s="114">
        <f t="shared" ref="H2031:I2031" si="354">SUM(H2014:H2030)</f>
        <v>0</v>
      </c>
      <c r="I2031" s="114">
        <f t="shared" si="354"/>
        <v>0</v>
      </c>
      <c r="J2031" s="114">
        <f>SUM(J2014:J2030)</f>
        <v>2998062.66</v>
      </c>
      <c r="K2031" s="490">
        <f t="shared" si="353"/>
        <v>131315.144508</v>
      </c>
      <c r="L2031" s="468">
        <f>SUM(L2014:L2030)</f>
        <v>2866747.5154920002</v>
      </c>
      <c r="M2031" s="114">
        <f>SUM(M2014:M2030)</f>
        <v>2990062.66</v>
      </c>
      <c r="N2031" s="114">
        <f>SUM(N2014:N2030)</f>
        <v>2990062.66</v>
      </c>
    </row>
    <row r="2032" spans="1:14" s="66" customFormat="1" ht="30">
      <c r="A2032" s="238" t="s">
        <v>1046</v>
      </c>
      <c r="B2032" s="231" t="s">
        <v>1822</v>
      </c>
      <c r="C2032" s="30"/>
      <c r="D2032" s="23"/>
      <c r="E2032" s="25"/>
      <c r="F2032" s="137">
        <f>F2031+F2013</f>
        <v>93823211.259999976</v>
      </c>
      <c r="G2032" s="114">
        <f>G2031+G2013</f>
        <v>93831211.259999976</v>
      </c>
      <c r="H2032" s="114">
        <f t="shared" ref="H2032:I2032" si="355">H2031+H2013</f>
        <v>0</v>
      </c>
      <c r="I2032" s="114">
        <f t="shared" si="355"/>
        <v>0</v>
      </c>
      <c r="J2032" s="114">
        <f>J2031+J2013</f>
        <v>93831211.259999976</v>
      </c>
      <c r="K2032" s="490"/>
      <c r="L2032" s="468">
        <f>L2031+L2013</f>
        <v>93699896.115491986</v>
      </c>
      <c r="M2032" s="114">
        <f>M2031+M2013</f>
        <v>95789345.170000002</v>
      </c>
      <c r="N2032" s="114">
        <f>N2031+N2013</f>
        <v>98043346.800000012</v>
      </c>
    </row>
    <row r="2033" spans="1:14" s="20" customFormat="1" ht="21">
      <c r="A2033" s="252"/>
      <c r="B2033" s="443"/>
      <c r="C2033" s="228"/>
      <c r="D2033" s="229"/>
      <c r="E2033" s="230"/>
      <c r="F2033" s="215"/>
      <c r="G2033" s="296"/>
      <c r="H2033" s="296"/>
      <c r="I2033" s="296"/>
      <c r="J2033" s="28"/>
      <c r="K2033" s="488"/>
      <c r="L2033" s="468"/>
      <c r="M2033" s="296"/>
      <c r="N2033" s="296"/>
    </row>
    <row r="2034" spans="1:14" s="20" customFormat="1">
      <c r="A2034" s="238" t="s">
        <v>1047</v>
      </c>
      <c r="B2034" s="231" t="s">
        <v>1700</v>
      </c>
      <c r="C2034" s="32" t="s">
        <v>946</v>
      </c>
      <c r="D2034" s="239">
        <v>21010101</v>
      </c>
      <c r="E2034" s="135" t="s">
        <v>725</v>
      </c>
      <c r="F2034" s="138">
        <v>2239492.2399999998</v>
      </c>
      <c r="G2034" s="297">
        <v>2239492.2399999998</v>
      </c>
      <c r="H2034" s="297"/>
      <c r="I2034" s="297"/>
      <c r="J2034" s="28">
        <v>2239492.2399999998</v>
      </c>
      <c r="K2034" s="488"/>
      <c r="L2034" s="467">
        <v>2239492.2399999998</v>
      </c>
      <c r="M2034" s="297">
        <f t="shared" ref="M2034:M2043" si="356">G2034*10%+G2034</f>
        <v>2463441.4639999997</v>
      </c>
      <c r="N2034" s="297">
        <f>M2034*10%+M2034</f>
        <v>2709785.6103999997</v>
      </c>
    </row>
    <row r="2035" spans="1:14" s="20" customFormat="1">
      <c r="A2035" s="253"/>
      <c r="B2035" s="231"/>
      <c r="C2035" s="32" t="s">
        <v>946</v>
      </c>
      <c r="D2035" s="239">
        <v>21010103</v>
      </c>
      <c r="E2035" s="135" t="s">
        <v>726</v>
      </c>
      <c r="F2035" s="138">
        <v>184934.98</v>
      </c>
      <c r="G2035" s="297">
        <v>184934.98</v>
      </c>
      <c r="H2035" s="297"/>
      <c r="I2035" s="297"/>
      <c r="J2035" s="28">
        <v>184934.98</v>
      </c>
      <c r="K2035" s="488"/>
      <c r="L2035" s="467">
        <v>184934.98</v>
      </c>
      <c r="M2035" s="297">
        <f t="shared" si="356"/>
        <v>203428.478</v>
      </c>
      <c r="N2035" s="297">
        <f t="shared" ref="N2035:N2043" si="357">M2035*10%+M2035</f>
        <v>223771.32579999999</v>
      </c>
    </row>
    <row r="2036" spans="1:14" s="20" customFormat="1">
      <c r="A2036" s="253"/>
      <c r="B2036" s="231"/>
      <c r="C2036" s="32" t="s">
        <v>946</v>
      </c>
      <c r="D2036" s="239">
        <v>21010104</v>
      </c>
      <c r="E2036" s="135" t="s">
        <v>727</v>
      </c>
      <c r="F2036" s="138">
        <v>154810.76</v>
      </c>
      <c r="G2036" s="297">
        <v>154810.76</v>
      </c>
      <c r="H2036" s="297"/>
      <c r="I2036" s="297"/>
      <c r="J2036" s="28">
        <v>154810.76</v>
      </c>
      <c r="K2036" s="488"/>
      <c r="L2036" s="467">
        <v>154810.76</v>
      </c>
      <c r="M2036" s="297">
        <f t="shared" si="356"/>
        <v>170291.83600000001</v>
      </c>
      <c r="N2036" s="297">
        <f t="shared" si="357"/>
        <v>187321.0196</v>
      </c>
    </row>
    <row r="2037" spans="1:14" s="20" customFormat="1">
      <c r="A2037" s="253"/>
      <c r="B2037" s="231"/>
      <c r="C2037" s="32" t="s">
        <v>946</v>
      </c>
      <c r="D2037" s="239">
        <v>21010105</v>
      </c>
      <c r="E2037" s="135" t="s">
        <v>1022</v>
      </c>
      <c r="F2037" s="138">
        <v>154810.76</v>
      </c>
      <c r="G2037" s="297">
        <v>154810.76</v>
      </c>
      <c r="H2037" s="297"/>
      <c r="I2037" s="297"/>
      <c r="J2037" s="28">
        <v>154810.76</v>
      </c>
      <c r="K2037" s="488"/>
      <c r="L2037" s="467">
        <v>154810.76</v>
      </c>
      <c r="M2037" s="297">
        <f t="shared" si="356"/>
        <v>170291.83600000001</v>
      </c>
      <c r="N2037" s="297">
        <f t="shared" si="357"/>
        <v>187321.0196</v>
      </c>
    </row>
    <row r="2038" spans="1:14" s="20" customFormat="1">
      <c r="A2038" s="253"/>
      <c r="B2038" s="231"/>
      <c r="C2038" s="32" t="s">
        <v>946</v>
      </c>
      <c r="D2038" s="239">
        <v>21010106</v>
      </c>
      <c r="E2038" s="135" t="s">
        <v>729</v>
      </c>
      <c r="F2038" s="138">
        <v>154810.76</v>
      </c>
      <c r="G2038" s="297">
        <v>154810.76</v>
      </c>
      <c r="H2038" s="297"/>
      <c r="I2038" s="297"/>
      <c r="J2038" s="28">
        <v>154810.76</v>
      </c>
      <c r="K2038" s="488"/>
      <c r="L2038" s="467">
        <v>154810.76</v>
      </c>
      <c r="M2038" s="297">
        <f t="shared" si="356"/>
        <v>170291.83600000001</v>
      </c>
      <c r="N2038" s="297">
        <f t="shared" si="357"/>
        <v>187321.0196</v>
      </c>
    </row>
    <row r="2039" spans="1:14" s="20" customFormat="1">
      <c r="A2039" s="253"/>
      <c r="B2039" s="231"/>
      <c r="C2039" s="32" t="s">
        <v>946</v>
      </c>
      <c r="D2039" s="239">
        <v>21010107</v>
      </c>
      <c r="E2039" s="135" t="s">
        <v>1048</v>
      </c>
      <c r="F2039" s="138">
        <v>83829.899999999994</v>
      </c>
      <c r="G2039" s="297">
        <v>83829.899999999994</v>
      </c>
      <c r="H2039" s="297"/>
      <c r="I2039" s="297"/>
      <c r="J2039" s="28">
        <v>83829.899999999994</v>
      </c>
      <c r="K2039" s="488"/>
      <c r="L2039" s="467">
        <v>83829.899999999994</v>
      </c>
      <c r="M2039" s="297">
        <f t="shared" si="356"/>
        <v>92212.89</v>
      </c>
      <c r="N2039" s="297">
        <f t="shared" si="357"/>
        <v>101434.179</v>
      </c>
    </row>
    <row r="2040" spans="1:14" s="20" customFormat="1">
      <c r="A2040" s="253"/>
      <c r="B2040" s="231"/>
      <c r="C2040" s="32" t="s">
        <v>946</v>
      </c>
      <c r="D2040" s="239">
        <v>21010108</v>
      </c>
      <c r="E2040" s="135" t="s">
        <v>1049</v>
      </c>
      <c r="F2040" s="138">
        <v>78376.7</v>
      </c>
      <c r="G2040" s="297">
        <v>78376.7</v>
      </c>
      <c r="H2040" s="297"/>
      <c r="I2040" s="297"/>
      <c r="J2040" s="28">
        <v>78376.7</v>
      </c>
      <c r="K2040" s="488"/>
      <c r="L2040" s="467">
        <v>78376.7</v>
      </c>
      <c r="M2040" s="297">
        <f t="shared" si="356"/>
        <v>86214.37</v>
      </c>
      <c r="N2040" s="297">
        <f t="shared" si="357"/>
        <v>94835.807000000001</v>
      </c>
    </row>
    <row r="2041" spans="1:14" s="20" customFormat="1">
      <c r="A2041" s="253"/>
      <c r="B2041" s="231"/>
      <c r="C2041" s="32" t="s">
        <v>946</v>
      </c>
      <c r="D2041" s="239">
        <v>21010109</v>
      </c>
      <c r="E2041" s="135" t="s">
        <v>1050</v>
      </c>
      <c r="F2041" s="138">
        <v>362375.1</v>
      </c>
      <c r="G2041" s="297">
        <v>362375.1</v>
      </c>
      <c r="H2041" s="297"/>
      <c r="I2041" s="297"/>
      <c r="J2041" s="28">
        <v>362375.1</v>
      </c>
      <c r="K2041" s="488"/>
      <c r="L2041" s="467">
        <v>362375.1</v>
      </c>
      <c r="M2041" s="297">
        <f t="shared" si="356"/>
        <v>398612.61</v>
      </c>
      <c r="N2041" s="297">
        <f t="shared" si="357"/>
        <v>438473.87099999998</v>
      </c>
    </row>
    <row r="2042" spans="1:14" s="20" customFormat="1">
      <c r="A2042" s="253"/>
      <c r="B2042" s="231"/>
      <c r="C2042" s="32" t="s">
        <v>946</v>
      </c>
      <c r="D2042" s="239">
        <v>210101010</v>
      </c>
      <c r="E2042" s="135" t="s">
        <v>1051</v>
      </c>
      <c r="F2042" s="138">
        <v>1828650.94</v>
      </c>
      <c r="G2042" s="297">
        <v>1828650.94</v>
      </c>
      <c r="H2042" s="297"/>
      <c r="I2042" s="297"/>
      <c r="J2042" s="28">
        <v>1828650.94</v>
      </c>
      <c r="K2042" s="488"/>
      <c r="L2042" s="467">
        <v>1828650.94</v>
      </c>
      <c r="M2042" s="297">
        <f t="shared" si="356"/>
        <v>2011516.034</v>
      </c>
      <c r="N2042" s="297">
        <f t="shared" si="357"/>
        <v>2212667.6373999999</v>
      </c>
    </row>
    <row r="2043" spans="1:14" s="20" customFormat="1">
      <c r="A2043" s="253"/>
      <c r="B2043" s="231"/>
      <c r="C2043" s="32" t="s">
        <v>946</v>
      </c>
      <c r="D2043" s="239">
        <v>210101011</v>
      </c>
      <c r="E2043" s="135" t="s">
        <v>1052</v>
      </c>
      <c r="F2043" s="138">
        <v>163536.12</v>
      </c>
      <c r="G2043" s="297">
        <v>163536.12</v>
      </c>
      <c r="H2043" s="297"/>
      <c r="I2043" s="297"/>
      <c r="J2043" s="28">
        <v>163536.12</v>
      </c>
      <c r="K2043" s="488"/>
      <c r="L2043" s="467">
        <v>163536.12</v>
      </c>
      <c r="M2043" s="297">
        <f t="shared" si="356"/>
        <v>179889.73199999999</v>
      </c>
      <c r="N2043" s="297">
        <f t="shared" si="357"/>
        <v>197878.7052</v>
      </c>
    </row>
    <row r="2044" spans="1:14" s="20" customFormat="1">
      <c r="A2044" s="238"/>
      <c r="B2044" s="231"/>
      <c r="C2044" s="30" t="s">
        <v>1836</v>
      </c>
      <c r="D2044" s="23"/>
      <c r="E2044" s="25"/>
      <c r="F2044" s="137">
        <f>SUM(F2034:F2043)</f>
        <v>5405628.2599999988</v>
      </c>
      <c r="G2044" s="114">
        <f>SUM(G2034:G2043)</f>
        <v>5405628.2599999988</v>
      </c>
      <c r="H2044" s="114">
        <f t="shared" ref="H2044:I2044" si="358">SUM(H2034:H2043)</f>
        <v>0</v>
      </c>
      <c r="I2044" s="114">
        <f t="shared" si="358"/>
        <v>0</v>
      </c>
      <c r="J2044" s="114">
        <f>SUM(J2034:J2043)</f>
        <v>5405628.2599999988</v>
      </c>
      <c r="K2044" s="490"/>
      <c r="L2044" s="468">
        <f>SUM(L2034:L2043)</f>
        <v>5405628.2599999988</v>
      </c>
      <c r="M2044" s="114">
        <f>SUM(M2034:M2043)</f>
        <v>5946191.0860000001</v>
      </c>
      <c r="N2044" s="114">
        <f>SUM(N2034:N2043)</f>
        <v>6540810.1945999991</v>
      </c>
    </row>
    <row r="2045" spans="1:14" s="20" customFormat="1">
      <c r="A2045" s="253"/>
      <c r="B2045" s="231"/>
      <c r="C2045" s="32" t="s">
        <v>47</v>
      </c>
      <c r="D2045" s="239">
        <v>22020108</v>
      </c>
      <c r="E2045" s="135" t="s">
        <v>812</v>
      </c>
      <c r="F2045" s="138">
        <v>580000</v>
      </c>
      <c r="G2045" s="297">
        <v>580000</v>
      </c>
      <c r="H2045" s="297"/>
      <c r="I2045" s="297"/>
      <c r="J2045" s="28">
        <v>580000</v>
      </c>
      <c r="K2045" s="488">
        <f>J2045*4.38%</f>
        <v>25404</v>
      </c>
      <c r="L2045" s="469">
        <v>554596</v>
      </c>
      <c r="M2045" s="297">
        <v>580000</v>
      </c>
      <c r="N2045" s="297">
        <v>580000</v>
      </c>
    </row>
    <row r="2046" spans="1:14" s="20" customFormat="1">
      <c r="A2046" s="253"/>
      <c r="B2046" s="231"/>
      <c r="C2046" s="32" t="s">
        <v>47</v>
      </c>
      <c r="D2046" s="239">
        <v>22020201</v>
      </c>
      <c r="E2046" s="135" t="s">
        <v>849</v>
      </c>
      <c r="F2046" s="138">
        <v>240000</v>
      </c>
      <c r="G2046" s="297">
        <v>240000</v>
      </c>
      <c r="H2046" s="297"/>
      <c r="I2046" s="297"/>
      <c r="J2046" s="28">
        <v>240000</v>
      </c>
      <c r="K2046" s="488">
        <f t="shared" ref="K2046:K2058" si="359">J2046*4.38%</f>
        <v>10512</v>
      </c>
      <c r="L2046" s="469">
        <v>229488</v>
      </c>
      <c r="M2046" s="297">
        <v>240000</v>
      </c>
      <c r="N2046" s="297">
        <v>240000</v>
      </c>
    </row>
    <row r="2047" spans="1:14" s="20" customFormat="1">
      <c r="A2047" s="253"/>
      <c r="B2047" s="231"/>
      <c r="C2047" s="32" t="s">
        <v>47</v>
      </c>
      <c r="D2047" s="239">
        <v>22020203</v>
      </c>
      <c r="E2047" s="135" t="s">
        <v>779</v>
      </c>
      <c r="F2047" s="138">
        <v>240000</v>
      </c>
      <c r="G2047" s="297">
        <v>240000</v>
      </c>
      <c r="H2047" s="297"/>
      <c r="I2047" s="297"/>
      <c r="J2047" s="28">
        <v>240000</v>
      </c>
      <c r="K2047" s="488">
        <f t="shared" si="359"/>
        <v>10512</v>
      </c>
      <c r="L2047" s="469">
        <v>229488</v>
      </c>
      <c r="M2047" s="297">
        <v>240000</v>
      </c>
      <c r="N2047" s="297">
        <v>240000</v>
      </c>
    </row>
    <row r="2048" spans="1:14" s="20" customFormat="1">
      <c r="A2048" s="253"/>
      <c r="B2048" s="231"/>
      <c r="C2048" s="32" t="s">
        <v>47</v>
      </c>
      <c r="D2048" s="239">
        <v>22020205</v>
      </c>
      <c r="E2048" s="135" t="s">
        <v>850</v>
      </c>
      <c r="F2048" s="138">
        <v>150000</v>
      </c>
      <c r="G2048" s="297">
        <v>150000</v>
      </c>
      <c r="H2048" s="297"/>
      <c r="I2048" s="297"/>
      <c r="J2048" s="28">
        <v>150000</v>
      </c>
      <c r="K2048" s="488">
        <f t="shared" si="359"/>
        <v>6570</v>
      </c>
      <c r="L2048" s="469">
        <v>143430</v>
      </c>
      <c r="M2048" s="297">
        <v>150000</v>
      </c>
      <c r="N2048" s="297">
        <v>150000</v>
      </c>
    </row>
    <row r="2049" spans="1:14" s="20" customFormat="1">
      <c r="A2049" s="253"/>
      <c r="B2049" s="231"/>
      <c r="C2049" s="32" t="s">
        <v>47</v>
      </c>
      <c r="D2049" s="239">
        <v>22020301</v>
      </c>
      <c r="E2049" s="135" t="s">
        <v>737</v>
      </c>
      <c r="F2049" s="138">
        <v>650000</v>
      </c>
      <c r="G2049" s="297">
        <v>650000</v>
      </c>
      <c r="H2049" s="297"/>
      <c r="I2049" s="297"/>
      <c r="J2049" s="28">
        <v>650000</v>
      </c>
      <c r="K2049" s="488">
        <f t="shared" si="359"/>
        <v>28470</v>
      </c>
      <c r="L2049" s="469">
        <v>621530</v>
      </c>
      <c r="M2049" s="297">
        <v>650000</v>
      </c>
      <c r="N2049" s="297">
        <v>650000</v>
      </c>
    </row>
    <row r="2050" spans="1:14" s="20" customFormat="1">
      <c r="A2050" s="253"/>
      <c r="B2050" s="231"/>
      <c r="C2050" s="32" t="s">
        <v>47</v>
      </c>
      <c r="D2050" s="239">
        <v>22020302</v>
      </c>
      <c r="E2050" s="135" t="s">
        <v>872</v>
      </c>
      <c r="F2050" s="138">
        <v>1000000</v>
      </c>
      <c r="G2050" s="297">
        <v>500000</v>
      </c>
      <c r="H2050" s="297"/>
      <c r="I2050" s="297"/>
      <c r="J2050" s="28">
        <v>500000</v>
      </c>
      <c r="K2050" s="488">
        <f t="shared" si="359"/>
        <v>21900</v>
      </c>
      <c r="L2050" s="469">
        <v>478100</v>
      </c>
      <c r="M2050" s="297">
        <v>1000000</v>
      </c>
      <c r="N2050" s="297">
        <v>1000000</v>
      </c>
    </row>
    <row r="2051" spans="1:14" s="20" customFormat="1">
      <c r="A2051" s="253"/>
      <c r="B2051" s="231"/>
      <c r="C2051" s="32" t="s">
        <v>47</v>
      </c>
      <c r="D2051" s="239">
        <v>22020303</v>
      </c>
      <c r="E2051" s="135" t="s">
        <v>738</v>
      </c>
      <c r="F2051" s="138">
        <v>40000</v>
      </c>
      <c r="G2051" s="297">
        <v>40000</v>
      </c>
      <c r="H2051" s="297"/>
      <c r="I2051" s="297"/>
      <c r="J2051" s="28">
        <v>40000</v>
      </c>
      <c r="K2051" s="488">
        <f t="shared" si="359"/>
        <v>1752</v>
      </c>
      <c r="L2051" s="469">
        <v>38248</v>
      </c>
      <c r="M2051" s="297">
        <v>40000</v>
      </c>
      <c r="N2051" s="297">
        <v>40000</v>
      </c>
    </row>
    <row r="2052" spans="1:14" s="20" customFormat="1">
      <c r="A2052" s="253"/>
      <c r="B2052" s="231"/>
      <c r="C2052" s="32" t="s">
        <v>47</v>
      </c>
      <c r="D2052" s="239">
        <v>22020305</v>
      </c>
      <c r="E2052" s="135" t="s">
        <v>755</v>
      </c>
      <c r="F2052" s="138">
        <v>30000</v>
      </c>
      <c r="G2052" s="297">
        <v>30000</v>
      </c>
      <c r="H2052" s="297"/>
      <c r="I2052" s="297"/>
      <c r="J2052" s="28">
        <v>30000</v>
      </c>
      <c r="K2052" s="488">
        <f t="shared" si="359"/>
        <v>1314</v>
      </c>
      <c r="L2052" s="469">
        <v>28686</v>
      </c>
      <c r="M2052" s="297">
        <v>30000</v>
      </c>
      <c r="N2052" s="297">
        <v>30000</v>
      </c>
    </row>
    <row r="2053" spans="1:14" s="20" customFormat="1">
      <c r="A2053" s="253"/>
      <c r="B2053" s="231"/>
      <c r="C2053" s="32" t="s">
        <v>47</v>
      </c>
      <c r="D2053" s="239">
        <v>22020307</v>
      </c>
      <c r="E2053" s="135" t="s">
        <v>822</v>
      </c>
      <c r="F2053" s="138">
        <v>765000</v>
      </c>
      <c r="G2053" s="297">
        <v>200000</v>
      </c>
      <c r="H2053" s="297"/>
      <c r="I2053" s="297"/>
      <c r="J2053" s="28">
        <v>200000</v>
      </c>
      <c r="K2053" s="488">
        <f t="shared" si="359"/>
        <v>8760</v>
      </c>
      <c r="L2053" s="469">
        <v>191240</v>
      </c>
      <c r="M2053" s="297">
        <v>765000</v>
      </c>
      <c r="N2053" s="297">
        <v>765000</v>
      </c>
    </row>
    <row r="2054" spans="1:14" s="20" customFormat="1">
      <c r="A2054" s="253"/>
      <c r="B2054" s="231"/>
      <c r="C2054" s="32" t="s">
        <v>47</v>
      </c>
      <c r="D2054" s="239">
        <v>22020315</v>
      </c>
      <c r="E2054" s="135" t="s">
        <v>740</v>
      </c>
      <c r="F2054" s="138">
        <v>1145000</v>
      </c>
      <c r="G2054" s="297">
        <v>145000</v>
      </c>
      <c r="H2054" s="297"/>
      <c r="I2054" s="297"/>
      <c r="J2054" s="28">
        <v>145000</v>
      </c>
      <c r="K2054" s="488">
        <f t="shared" si="359"/>
        <v>6351</v>
      </c>
      <c r="L2054" s="469">
        <v>138649</v>
      </c>
      <c r="M2054" s="297">
        <v>1145000</v>
      </c>
      <c r="N2054" s="297">
        <v>1145000</v>
      </c>
    </row>
    <row r="2055" spans="1:14" s="20" customFormat="1">
      <c r="A2055" s="253"/>
      <c r="B2055" s="231"/>
      <c r="C2055" s="32" t="s">
        <v>47</v>
      </c>
      <c r="D2055" s="239">
        <v>22020709</v>
      </c>
      <c r="E2055" s="135" t="s">
        <v>771</v>
      </c>
      <c r="F2055" s="138">
        <v>280000</v>
      </c>
      <c r="G2055" s="297">
        <v>300000</v>
      </c>
      <c r="H2055" s="297"/>
      <c r="I2055" s="297"/>
      <c r="J2055" s="28">
        <v>300000</v>
      </c>
      <c r="K2055" s="488">
        <f t="shared" si="359"/>
        <v>13140</v>
      </c>
      <c r="L2055" s="469">
        <v>286860</v>
      </c>
      <c r="M2055" s="297">
        <v>280000</v>
      </c>
      <c r="N2055" s="297">
        <v>280000</v>
      </c>
    </row>
    <row r="2056" spans="1:14" s="20" customFormat="1">
      <c r="A2056" s="253"/>
      <c r="B2056" s="231"/>
      <c r="C2056" s="32" t="s">
        <v>47</v>
      </c>
      <c r="D2056" s="239">
        <v>22020901</v>
      </c>
      <c r="E2056" s="135" t="s">
        <v>749</v>
      </c>
      <c r="F2056" s="138">
        <v>240000</v>
      </c>
      <c r="G2056" s="297">
        <v>5000</v>
      </c>
      <c r="H2056" s="297"/>
      <c r="I2056" s="297"/>
      <c r="J2056" s="28">
        <v>5000</v>
      </c>
      <c r="K2056" s="488">
        <f t="shared" si="359"/>
        <v>219</v>
      </c>
      <c r="L2056" s="469">
        <v>4781</v>
      </c>
      <c r="M2056" s="297">
        <v>240000</v>
      </c>
      <c r="N2056" s="297">
        <v>240000</v>
      </c>
    </row>
    <row r="2057" spans="1:14" s="20" customFormat="1">
      <c r="A2057" s="253"/>
      <c r="B2057" s="231"/>
      <c r="C2057" s="32" t="s">
        <v>47</v>
      </c>
      <c r="D2057" s="239">
        <v>22021009</v>
      </c>
      <c r="E2057" s="135" t="s">
        <v>873</v>
      </c>
      <c r="F2057" s="138">
        <v>377000</v>
      </c>
      <c r="G2057" s="297">
        <v>300000</v>
      </c>
      <c r="H2057" s="297"/>
      <c r="I2057" s="297"/>
      <c r="J2057" s="28">
        <v>300000</v>
      </c>
      <c r="K2057" s="488">
        <f t="shared" si="359"/>
        <v>13140</v>
      </c>
      <c r="L2057" s="469">
        <v>286860</v>
      </c>
      <c r="M2057" s="297">
        <v>377000</v>
      </c>
      <c r="N2057" s="297">
        <v>377000</v>
      </c>
    </row>
    <row r="2058" spans="1:14" s="20" customFormat="1">
      <c r="A2058" s="238"/>
      <c r="B2058" s="231"/>
      <c r="C2058" s="30" t="s">
        <v>1837</v>
      </c>
      <c r="D2058" s="23"/>
      <c r="E2058" s="25"/>
      <c r="F2058" s="137">
        <f>SUM(F2045:F2057)</f>
        <v>5737000</v>
      </c>
      <c r="G2058" s="114">
        <f>SUM(G2045:G2057)</f>
        <v>3380000</v>
      </c>
      <c r="H2058" s="114">
        <f t="shared" ref="H2058:I2058" si="360">SUM(H2045:H2057)</f>
        <v>0</v>
      </c>
      <c r="I2058" s="114">
        <f t="shared" si="360"/>
        <v>0</v>
      </c>
      <c r="J2058" s="114">
        <f>SUM(J2045:J2057)</f>
        <v>3380000</v>
      </c>
      <c r="K2058" s="490">
        <f t="shared" si="359"/>
        <v>148044</v>
      </c>
      <c r="L2058" s="468">
        <f>SUM(L2045:L2057)</f>
        <v>3231956</v>
      </c>
      <c r="M2058" s="114">
        <f>SUM(M2045:M2057)</f>
        <v>5737000</v>
      </c>
      <c r="N2058" s="114">
        <f>SUM(N2045:N2057)</f>
        <v>5737000</v>
      </c>
    </row>
    <row r="2059" spans="1:14" s="66" customFormat="1" ht="17.25" customHeight="1">
      <c r="A2059" s="238" t="s">
        <v>1047</v>
      </c>
      <c r="B2059" s="231" t="s">
        <v>1823</v>
      </c>
      <c r="C2059" s="30"/>
      <c r="D2059" s="23"/>
      <c r="E2059" s="25"/>
      <c r="F2059" s="137">
        <f>F2058+F2044</f>
        <v>11142628.259999998</v>
      </c>
      <c r="G2059" s="114">
        <f>G2058+G2044</f>
        <v>8785628.2599999979</v>
      </c>
      <c r="H2059" s="114">
        <f t="shared" ref="H2059:I2059" si="361">H2058+H2044</f>
        <v>0</v>
      </c>
      <c r="I2059" s="114">
        <f t="shared" si="361"/>
        <v>0</v>
      </c>
      <c r="J2059" s="114">
        <f>J2058+J2044</f>
        <v>8785628.2599999979</v>
      </c>
      <c r="K2059" s="490"/>
      <c r="L2059" s="468">
        <f>L2058+L2044</f>
        <v>8637584.2599999979</v>
      </c>
      <c r="M2059" s="114">
        <f>M2058+M2044</f>
        <v>11683191.085999999</v>
      </c>
      <c r="N2059" s="114">
        <f>N2058+N2044</f>
        <v>12277810.194599999</v>
      </c>
    </row>
    <row r="2060" spans="1:14" s="20" customFormat="1" ht="21">
      <c r="A2060" s="252"/>
      <c r="B2060" s="443"/>
      <c r="C2060" s="228"/>
      <c r="D2060" s="229"/>
      <c r="E2060" s="230"/>
      <c r="F2060" s="215"/>
      <c r="G2060" s="296"/>
      <c r="H2060" s="296"/>
      <c r="I2060" s="296"/>
      <c r="J2060" s="28"/>
      <c r="K2060" s="488"/>
      <c r="L2060" s="468"/>
      <c r="M2060" s="296"/>
      <c r="N2060" s="296"/>
    </row>
    <row r="2061" spans="1:14" s="20" customFormat="1" ht="30">
      <c r="A2061" s="238" t="s">
        <v>1053</v>
      </c>
      <c r="B2061" s="231" t="s">
        <v>1701</v>
      </c>
      <c r="C2061" s="32" t="s">
        <v>946</v>
      </c>
      <c r="D2061" s="239">
        <v>21010101</v>
      </c>
      <c r="E2061" s="135" t="s">
        <v>2613</v>
      </c>
      <c r="F2061" s="138">
        <v>33533129.030000001</v>
      </c>
      <c r="G2061" s="297">
        <v>33533129.030000001</v>
      </c>
      <c r="H2061" s="297"/>
      <c r="I2061" s="297"/>
      <c r="J2061" s="28">
        <v>33533129.030000001</v>
      </c>
      <c r="K2061" s="488"/>
      <c r="L2061" s="467">
        <v>33533129.030000001</v>
      </c>
      <c r="M2061" s="297">
        <f>G2061*10%+G2061</f>
        <v>36886441.932999998</v>
      </c>
      <c r="N2061" s="297">
        <f>M2061*10%+M2061</f>
        <v>40575086.1263</v>
      </c>
    </row>
    <row r="2062" spans="1:14" s="20" customFormat="1">
      <c r="A2062" s="238"/>
      <c r="B2062" s="231"/>
      <c r="C2062" s="30" t="s">
        <v>1842</v>
      </c>
      <c r="D2062" s="23"/>
      <c r="E2062" s="25"/>
      <c r="F2062" s="137">
        <f>SUM(F2061)</f>
        <v>33533129.030000001</v>
      </c>
      <c r="G2062" s="114">
        <f>SUM(G2061)</f>
        <v>33533129.030000001</v>
      </c>
      <c r="H2062" s="114">
        <f t="shared" ref="H2062:I2062" si="362">SUM(H2061)</f>
        <v>0</v>
      </c>
      <c r="I2062" s="114">
        <f t="shared" si="362"/>
        <v>0</v>
      </c>
      <c r="J2062" s="114">
        <f>SUM(J2061)</f>
        <v>33533129.030000001</v>
      </c>
      <c r="K2062" s="490"/>
      <c r="L2062" s="468">
        <f>SUM(L2061)</f>
        <v>33533129.030000001</v>
      </c>
      <c r="M2062" s="114">
        <f>SUM(M2061)</f>
        <v>36886441.932999998</v>
      </c>
      <c r="N2062" s="114">
        <f>SUM(N2061)</f>
        <v>40575086.1263</v>
      </c>
    </row>
    <row r="2063" spans="1:14" s="20" customFormat="1">
      <c r="A2063" s="253"/>
      <c r="B2063" s="231"/>
      <c r="C2063" s="32" t="s">
        <v>47</v>
      </c>
      <c r="D2063" s="239">
        <v>22020101</v>
      </c>
      <c r="E2063" s="135" t="s">
        <v>841</v>
      </c>
      <c r="F2063" s="138">
        <v>60000</v>
      </c>
      <c r="G2063" s="297">
        <v>60000</v>
      </c>
      <c r="H2063" s="297"/>
      <c r="I2063" s="297"/>
      <c r="J2063" s="28">
        <v>60000</v>
      </c>
      <c r="K2063" s="488">
        <f>J2063*4.38%</f>
        <v>2628</v>
      </c>
      <c r="L2063" s="469">
        <v>57372</v>
      </c>
      <c r="M2063" s="297">
        <v>60000</v>
      </c>
      <c r="N2063" s="297">
        <v>60000</v>
      </c>
    </row>
    <row r="2064" spans="1:14" s="20" customFormat="1">
      <c r="A2064" s="253"/>
      <c r="B2064" s="231"/>
      <c r="C2064" s="32" t="s">
        <v>47</v>
      </c>
      <c r="D2064" s="239">
        <v>22020105</v>
      </c>
      <c r="E2064" s="135" t="s">
        <v>1733</v>
      </c>
      <c r="F2064" s="138">
        <v>272000</v>
      </c>
      <c r="G2064" s="297">
        <v>272000</v>
      </c>
      <c r="H2064" s="297"/>
      <c r="I2064" s="297"/>
      <c r="J2064" s="28">
        <v>272000</v>
      </c>
      <c r="K2064" s="488">
        <f t="shared" ref="K2064:K2081" si="363">J2064*4.38%</f>
        <v>11913.6</v>
      </c>
      <c r="L2064" s="469">
        <v>260086.40000000002</v>
      </c>
      <c r="M2064" s="297">
        <v>272000</v>
      </c>
      <c r="N2064" s="297">
        <v>272000</v>
      </c>
    </row>
    <row r="2065" spans="1:14" s="20" customFormat="1">
      <c r="A2065" s="253"/>
      <c r="B2065" s="231"/>
      <c r="C2065" s="32" t="s">
        <v>47</v>
      </c>
      <c r="D2065" s="239">
        <v>22020203</v>
      </c>
      <c r="E2065" s="135" t="s">
        <v>779</v>
      </c>
      <c r="F2065" s="138">
        <v>150000</v>
      </c>
      <c r="G2065" s="297">
        <v>150000</v>
      </c>
      <c r="H2065" s="297"/>
      <c r="I2065" s="297"/>
      <c r="J2065" s="28">
        <v>150000</v>
      </c>
      <c r="K2065" s="488">
        <f t="shared" si="363"/>
        <v>6570</v>
      </c>
      <c r="L2065" s="469">
        <v>143430</v>
      </c>
      <c r="M2065" s="297">
        <v>150000</v>
      </c>
      <c r="N2065" s="297">
        <v>150000</v>
      </c>
    </row>
    <row r="2066" spans="1:14" s="20" customFormat="1">
      <c r="A2066" s="253"/>
      <c r="B2066" s="231"/>
      <c r="C2066" s="32" t="s">
        <v>47</v>
      </c>
      <c r="D2066" s="239">
        <v>22020205</v>
      </c>
      <c r="E2066" s="135" t="s">
        <v>850</v>
      </c>
      <c r="F2066" s="138">
        <v>120000</v>
      </c>
      <c r="G2066" s="297">
        <v>120000</v>
      </c>
      <c r="H2066" s="297"/>
      <c r="I2066" s="297"/>
      <c r="J2066" s="28">
        <v>120000</v>
      </c>
      <c r="K2066" s="488">
        <f t="shared" si="363"/>
        <v>5256</v>
      </c>
      <c r="L2066" s="469">
        <v>114744</v>
      </c>
      <c r="M2066" s="297">
        <v>120000</v>
      </c>
      <c r="N2066" s="297">
        <v>120000</v>
      </c>
    </row>
    <row r="2067" spans="1:14" s="20" customFormat="1">
      <c r="A2067" s="253"/>
      <c r="B2067" s="231"/>
      <c r="C2067" s="32" t="s">
        <v>47</v>
      </c>
      <c r="D2067" s="239">
        <v>22020301</v>
      </c>
      <c r="E2067" s="135" t="s">
        <v>737</v>
      </c>
      <c r="F2067" s="138">
        <v>223100</v>
      </c>
      <c r="G2067" s="297">
        <v>223100</v>
      </c>
      <c r="H2067" s="297"/>
      <c r="I2067" s="297"/>
      <c r="J2067" s="28">
        <v>223100</v>
      </c>
      <c r="K2067" s="488">
        <f t="shared" si="363"/>
        <v>9771.7799999999988</v>
      </c>
      <c r="L2067" s="469">
        <v>213328.22</v>
      </c>
      <c r="M2067" s="297">
        <v>223100</v>
      </c>
      <c r="N2067" s="297">
        <v>223100</v>
      </c>
    </row>
    <row r="2068" spans="1:14" s="20" customFormat="1">
      <c r="A2068" s="253"/>
      <c r="B2068" s="231"/>
      <c r="C2068" s="32" t="s">
        <v>47</v>
      </c>
      <c r="D2068" s="239">
        <v>22020303</v>
      </c>
      <c r="E2068" s="135" t="s">
        <v>738</v>
      </c>
      <c r="F2068" s="138">
        <v>33600</v>
      </c>
      <c r="G2068" s="297">
        <v>33600</v>
      </c>
      <c r="H2068" s="297"/>
      <c r="I2068" s="297"/>
      <c r="J2068" s="28">
        <v>33600</v>
      </c>
      <c r="K2068" s="488">
        <f t="shared" si="363"/>
        <v>1471.68</v>
      </c>
      <c r="L2068" s="469">
        <v>32128.320000000003</v>
      </c>
      <c r="M2068" s="297">
        <v>33600</v>
      </c>
      <c r="N2068" s="297">
        <v>33600</v>
      </c>
    </row>
    <row r="2069" spans="1:14" s="20" customFormat="1">
      <c r="A2069" s="253"/>
      <c r="B2069" s="231"/>
      <c r="C2069" s="32" t="s">
        <v>47</v>
      </c>
      <c r="D2069" s="239">
        <v>22020305</v>
      </c>
      <c r="E2069" s="135" t="s">
        <v>755</v>
      </c>
      <c r="F2069" s="138">
        <v>0</v>
      </c>
      <c r="G2069" s="297">
        <v>0</v>
      </c>
      <c r="H2069" s="297"/>
      <c r="I2069" s="297"/>
      <c r="J2069" s="28">
        <v>0</v>
      </c>
      <c r="K2069" s="488">
        <f t="shared" si="363"/>
        <v>0</v>
      </c>
      <c r="L2069" s="469">
        <v>0</v>
      </c>
      <c r="M2069" s="297">
        <v>0</v>
      </c>
      <c r="N2069" s="297">
        <v>0</v>
      </c>
    </row>
    <row r="2070" spans="1:14" s="20" customFormat="1">
      <c r="A2070" s="253"/>
      <c r="B2070" s="231"/>
      <c r="C2070" s="32" t="s">
        <v>47</v>
      </c>
      <c r="D2070" s="239">
        <v>22020307</v>
      </c>
      <c r="E2070" s="135" t="s">
        <v>822</v>
      </c>
      <c r="F2070" s="138">
        <v>87600</v>
      </c>
      <c r="G2070" s="297">
        <v>87600</v>
      </c>
      <c r="H2070" s="297"/>
      <c r="I2070" s="297"/>
      <c r="J2070" s="28">
        <v>87600</v>
      </c>
      <c r="K2070" s="488">
        <f t="shared" si="363"/>
        <v>3836.88</v>
      </c>
      <c r="L2070" s="469">
        <v>83763.12000000001</v>
      </c>
      <c r="M2070" s="297">
        <v>87600</v>
      </c>
      <c r="N2070" s="297">
        <v>87600</v>
      </c>
    </row>
    <row r="2071" spans="1:14" s="20" customFormat="1">
      <c r="A2071" s="253"/>
      <c r="B2071" s="231"/>
      <c r="C2071" s="32" t="s">
        <v>47</v>
      </c>
      <c r="D2071" s="239">
        <v>22020308</v>
      </c>
      <c r="E2071" s="135" t="s">
        <v>756</v>
      </c>
      <c r="F2071" s="138">
        <v>270000</v>
      </c>
      <c r="G2071" s="297">
        <v>270000</v>
      </c>
      <c r="H2071" s="297"/>
      <c r="I2071" s="297"/>
      <c r="J2071" s="28">
        <v>270000</v>
      </c>
      <c r="K2071" s="488">
        <f t="shared" si="363"/>
        <v>11826</v>
      </c>
      <c r="L2071" s="469">
        <v>258174</v>
      </c>
      <c r="M2071" s="297">
        <v>270000</v>
      </c>
      <c r="N2071" s="297">
        <v>270000</v>
      </c>
    </row>
    <row r="2072" spans="1:14" s="20" customFormat="1">
      <c r="A2072" s="253"/>
      <c r="B2072" s="231"/>
      <c r="C2072" s="32" t="s">
        <v>47</v>
      </c>
      <c r="D2072" s="239">
        <v>22020310</v>
      </c>
      <c r="E2072" s="135" t="s">
        <v>819</v>
      </c>
      <c r="F2072" s="138">
        <v>328500</v>
      </c>
      <c r="G2072" s="297">
        <v>328500</v>
      </c>
      <c r="H2072" s="297"/>
      <c r="I2072" s="297"/>
      <c r="J2072" s="28">
        <v>328500</v>
      </c>
      <c r="K2072" s="488">
        <f t="shared" si="363"/>
        <v>14388.3</v>
      </c>
      <c r="L2072" s="469">
        <v>314111.7</v>
      </c>
      <c r="M2072" s="297">
        <v>328500</v>
      </c>
      <c r="N2072" s="297">
        <v>328500</v>
      </c>
    </row>
    <row r="2073" spans="1:14" s="20" customFormat="1">
      <c r="A2073" s="253"/>
      <c r="B2073" s="231"/>
      <c r="C2073" s="32" t="s">
        <v>47</v>
      </c>
      <c r="D2073" s="239">
        <v>22020315</v>
      </c>
      <c r="E2073" s="135" t="s">
        <v>740</v>
      </c>
      <c r="F2073" s="138">
        <v>108000</v>
      </c>
      <c r="G2073" s="297">
        <v>108000</v>
      </c>
      <c r="H2073" s="297"/>
      <c r="I2073" s="297"/>
      <c r="J2073" s="28">
        <v>108000</v>
      </c>
      <c r="K2073" s="488">
        <f t="shared" si="363"/>
        <v>4730.3999999999996</v>
      </c>
      <c r="L2073" s="469">
        <v>103269.6</v>
      </c>
      <c r="M2073" s="297">
        <v>108000</v>
      </c>
      <c r="N2073" s="297">
        <v>108000</v>
      </c>
    </row>
    <row r="2074" spans="1:14" s="20" customFormat="1">
      <c r="A2074" s="253"/>
      <c r="B2074" s="231"/>
      <c r="C2074" s="32" t="s">
        <v>47</v>
      </c>
      <c r="D2074" s="239">
        <v>22020405</v>
      </c>
      <c r="E2074" s="135" t="s">
        <v>743</v>
      </c>
      <c r="F2074" s="138">
        <v>60000</v>
      </c>
      <c r="G2074" s="297">
        <v>60000</v>
      </c>
      <c r="H2074" s="297"/>
      <c r="I2074" s="297"/>
      <c r="J2074" s="28">
        <v>60000</v>
      </c>
      <c r="K2074" s="488">
        <f t="shared" si="363"/>
        <v>2628</v>
      </c>
      <c r="L2074" s="469">
        <v>57372</v>
      </c>
      <c r="M2074" s="297">
        <v>60000</v>
      </c>
      <c r="N2074" s="297">
        <v>60000</v>
      </c>
    </row>
    <row r="2075" spans="1:14" s="20" customFormat="1">
      <c r="A2075" s="253"/>
      <c r="B2075" s="231"/>
      <c r="C2075" s="32" t="s">
        <v>47</v>
      </c>
      <c r="D2075" s="239">
        <v>22020414</v>
      </c>
      <c r="E2075" s="135" t="s">
        <v>877</v>
      </c>
      <c r="F2075" s="138">
        <v>375000</v>
      </c>
      <c r="G2075" s="297">
        <v>375000</v>
      </c>
      <c r="H2075" s="297"/>
      <c r="I2075" s="297"/>
      <c r="J2075" s="28">
        <v>375000</v>
      </c>
      <c r="K2075" s="488">
        <f t="shared" si="363"/>
        <v>16425</v>
      </c>
      <c r="L2075" s="469">
        <v>358575</v>
      </c>
      <c r="M2075" s="297">
        <v>375000</v>
      </c>
      <c r="N2075" s="297">
        <v>375000</v>
      </c>
    </row>
    <row r="2076" spans="1:14" s="20" customFormat="1">
      <c r="A2076" s="253"/>
      <c r="B2076" s="231"/>
      <c r="C2076" s="32" t="s">
        <v>47</v>
      </c>
      <c r="D2076" s="239">
        <v>22020709</v>
      </c>
      <c r="E2076" s="135" t="s">
        <v>771</v>
      </c>
      <c r="F2076" s="138">
        <v>200000</v>
      </c>
      <c r="G2076" s="297">
        <v>300000</v>
      </c>
      <c r="H2076" s="297"/>
      <c r="I2076" s="297"/>
      <c r="J2076" s="28">
        <v>300000</v>
      </c>
      <c r="K2076" s="488">
        <f t="shared" si="363"/>
        <v>13140</v>
      </c>
      <c r="L2076" s="469">
        <v>286860</v>
      </c>
      <c r="M2076" s="297">
        <v>200000</v>
      </c>
      <c r="N2076" s="297">
        <v>200000</v>
      </c>
    </row>
    <row r="2077" spans="1:14" s="20" customFormat="1">
      <c r="A2077" s="253"/>
      <c r="B2077" s="231"/>
      <c r="C2077" s="32" t="s">
        <v>47</v>
      </c>
      <c r="D2077" s="239">
        <v>22020803</v>
      </c>
      <c r="E2077" s="135" t="s">
        <v>748</v>
      </c>
      <c r="F2077" s="138">
        <v>55100</v>
      </c>
      <c r="G2077" s="297">
        <v>55100</v>
      </c>
      <c r="H2077" s="297"/>
      <c r="I2077" s="297"/>
      <c r="J2077" s="28">
        <v>55100</v>
      </c>
      <c r="K2077" s="488">
        <f t="shared" si="363"/>
        <v>2413.38</v>
      </c>
      <c r="L2077" s="469">
        <v>52686.62</v>
      </c>
      <c r="M2077" s="297">
        <v>55100</v>
      </c>
      <c r="N2077" s="297">
        <v>55100</v>
      </c>
    </row>
    <row r="2078" spans="1:14" s="20" customFormat="1">
      <c r="A2078" s="253"/>
      <c r="B2078" s="231"/>
      <c r="C2078" s="32" t="s">
        <v>47</v>
      </c>
      <c r="D2078" s="239">
        <v>22020901</v>
      </c>
      <c r="E2078" s="135" t="s">
        <v>749</v>
      </c>
      <c r="F2078" s="138">
        <v>36000</v>
      </c>
      <c r="G2078" s="297">
        <v>5000</v>
      </c>
      <c r="H2078" s="297"/>
      <c r="I2078" s="297"/>
      <c r="J2078" s="28">
        <v>5000</v>
      </c>
      <c r="K2078" s="488">
        <f t="shared" si="363"/>
        <v>219</v>
      </c>
      <c r="L2078" s="469">
        <v>4781</v>
      </c>
      <c r="M2078" s="297">
        <v>36000</v>
      </c>
      <c r="N2078" s="297">
        <v>36000</v>
      </c>
    </row>
    <row r="2079" spans="1:14" s="20" customFormat="1">
      <c r="A2079" s="253"/>
      <c r="B2079" s="231"/>
      <c r="C2079" s="32" t="s">
        <v>47</v>
      </c>
      <c r="D2079" s="239">
        <v>22021001</v>
      </c>
      <c r="E2079" s="135" t="s">
        <v>772</v>
      </c>
      <c r="F2079" s="138">
        <v>265500</v>
      </c>
      <c r="G2079" s="297">
        <v>265500</v>
      </c>
      <c r="H2079" s="297"/>
      <c r="I2079" s="297"/>
      <c r="J2079" s="28">
        <v>265500</v>
      </c>
      <c r="K2079" s="488">
        <f t="shared" si="363"/>
        <v>11628.9</v>
      </c>
      <c r="L2079" s="469">
        <v>253871.1</v>
      </c>
      <c r="M2079" s="297">
        <v>265500</v>
      </c>
      <c r="N2079" s="297">
        <v>265500</v>
      </c>
    </row>
    <row r="2080" spans="1:14" s="20" customFormat="1">
      <c r="A2080" s="253"/>
      <c r="B2080" s="231"/>
      <c r="C2080" s="32" t="s">
        <v>47</v>
      </c>
      <c r="D2080" s="239">
        <v>22021009</v>
      </c>
      <c r="E2080" s="135" t="s">
        <v>873</v>
      </c>
      <c r="F2080" s="138">
        <v>263000</v>
      </c>
      <c r="G2080" s="297">
        <v>300000</v>
      </c>
      <c r="H2080" s="297"/>
      <c r="I2080" s="297"/>
      <c r="J2080" s="28">
        <v>300000</v>
      </c>
      <c r="K2080" s="488">
        <f t="shared" si="363"/>
        <v>13140</v>
      </c>
      <c r="L2080" s="469">
        <v>286860</v>
      </c>
      <c r="M2080" s="297">
        <v>263000</v>
      </c>
      <c r="N2080" s="297">
        <v>263000</v>
      </c>
    </row>
    <row r="2081" spans="1:14" s="20" customFormat="1">
      <c r="A2081" s="238"/>
      <c r="B2081" s="231"/>
      <c r="C2081" s="30" t="s">
        <v>1837</v>
      </c>
      <c r="D2081" s="23"/>
      <c r="E2081" s="25"/>
      <c r="F2081" s="137">
        <f>SUM(F2063:F2080)</f>
        <v>2907400</v>
      </c>
      <c r="G2081" s="114">
        <f>SUM(G2063:G2080)</f>
        <v>3013400</v>
      </c>
      <c r="H2081" s="114">
        <f t="shared" ref="H2081:I2081" si="364">SUM(H2063:H2080)</f>
        <v>0</v>
      </c>
      <c r="I2081" s="114">
        <f t="shared" si="364"/>
        <v>0</v>
      </c>
      <c r="J2081" s="114">
        <f>SUM(J2063:J2080)</f>
        <v>3013400</v>
      </c>
      <c r="K2081" s="490">
        <f t="shared" si="363"/>
        <v>131986.91999999998</v>
      </c>
      <c r="L2081" s="468">
        <f>SUM(L2063:L2080)</f>
        <v>2881413.0800000005</v>
      </c>
      <c r="M2081" s="114">
        <f>SUM(M2063:M2080)</f>
        <v>2907400</v>
      </c>
      <c r="N2081" s="114">
        <f>SUM(N2063:N2080)</f>
        <v>2907400</v>
      </c>
    </row>
    <row r="2082" spans="1:14" s="66" customFormat="1" ht="30">
      <c r="A2082" s="238" t="s">
        <v>1053</v>
      </c>
      <c r="B2082" s="231" t="s">
        <v>1824</v>
      </c>
      <c r="C2082" s="30"/>
      <c r="D2082" s="23"/>
      <c r="E2082" s="25"/>
      <c r="F2082" s="137">
        <f>F2081+F2062</f>
        <v>36440529.030000001</v>
      </c>
      <c r="G2082" s="114">
        <f>G2081+G2062</f>
        <v>36546529.030000001</v>
      </c>
      <c r="H2082" s="114">
        <f t="shared" ref="H2082:I2082" si="365">H2081+H2062</f>
        <v>0</v>
      </c>
      <c r="I2082" s="114">
        <f t="shared" si="365"/>
        <v>0</v>
      </c>
      <c r="J2082" s="114">
        <f>J2081+J2062</f>
        <v>36546529.030000001</v>
      </c>
      <c r="K2082" s="490"/>
      <c r="L2082" s="468">
        <f>L2081+L2062</f>
        <v>36414542.109999999</v>
      </c>
      <c r="M2082" s="114">
        <f>M2081+M2062</f>
        <v>39793841.932999998</v>
      </c>
      <c r="N2082" s="114">
        <f>N2081+N2062</f>
        <v>43482486.1263</v>
      </c>
    </row>
    <row r="2083" spans="1:14" s="20" customFormat="1" ht="21">
      <c r="A2083" s="252"/>
      <c r="B2083" s="443"/>
      <c r="C2083" s="228"/>
      <c r="D2083" s="229"/>
      <c r="E2083" s="230"/>
      <c r="F2083" s="215"/>
      <c r="G2083" s="296"/>
      <c r="H2083" s="296"/>
      <c r="I2083" s="296"/>
      <c r="J2083" s="28"/>
      <c r="K2083" s="488"/>
      <c r="L2083" s="468"/>
      <c r="M2083" s="296"/>
      <c r="N2083" s="296"/>
    </row>
    <row r="2084" spans="1:14" s="20" customFormat="1">
      <c r="A2084" s="238" t="s">
        <v>1055</v>
      </c>
      <c r="B2084" s="231" t="s">
        <v>1054</v>
      </c>
      <c r="C2084" s="32" t="s">
        <v>946</v>
      </c>
      <c r="D2084" s="77">
        <v>21010101</v>
      </c>
      <c r="E2084" s="240" t="s">
        <v>725</v>
      </c>
      <c r="F2084" s="136">
        <v>42562862.640000001</v>
      </c>
      <c r="G2084" s="28">
        <v>42562862.640000001</v>
      </c>
      <c r="H2084" s="28"/>
      <c r="I2084" s="28"/>
      <c r="J2084" s="28">
        <v>42562862.640000001</v>
      </c>
      <c r="K2084" s="488"/>
      <c r="L2084" s="467">
        <v>42562862.640000001</v>
      </c>
      <c r="M2084" s="28">
        <v>42853934.640000001</v>
      </c>
      <c r="N2084" s="28">
        <v>41440569.399999999</v>
      </c>
    </row>
    <row r="2085" spans="1:14" s="20" customFormat="1">
      <c r="A2085" s="253"/>
      <c r="B2085" s="231"/>
      <c r="C2085" s="32" t="s">
        <v>946</v>
      </c>
      <c r="D2085" s="77">
        <v>21020101</v>
      </c>
      <c r="E2085" s="240" t="s">
        <v>726</v>
      </c>
      <c r="F2085" s="136">
        <v>9274554</v>
      </c>
      <c r="G2085" s="28">
        <v>9274554</v>
      </c>
      <c r="H2085" s="28"/>
      <c r="I2085" s="28"/>
      <c r="J2085" s="28">
        <v>9274554</v>
      </c>
      <c r="K2085" s="488"/>
      <c r="L2085" s="467">
        <v>9274554</v>
      </c>
      <c r="M2085" s="28">
        <v>9990859.3200000003</v>
      </c>
      <c r="N2085" s="28">
        <v>9637487.1600000001</v>
      </c>
    </row>
    <row r="2086" spans="1:14" s="20" customFormat="1">
      <c r="A2086" s="253"/>
      <c r="B2086" s="231"/>
      <c r="C2086" s="32" t="s">
        <v>946</v>
      </c>
      <c r="D2086" s="77">
        <v>21020102</v>
      </c>
      <c r="E2086" s="240" t="s">
        <v>727</v>
      </c>
      <c r="F2086" s="136">
        <v>3712732.32</v>
      </c>
      <c r="G2086" s="28">
        <v>3712732.32</v>
      </c>
      <c r="H2086" s="28"/>
      <c r="I2086" s="28"/>
      <c r="J2086" s="28">
        <v>3712732.32</v>
      </c>
      <c r="K2086" s="488"/>
      <c r="L2086" s="467">
        <v>3712732.32</v>
      </c>
      <c r="M2086" s="28">
        <v>3996345.84</v>
      </c>
      <c r="N2086" s="28">
        <v>3854996.64</v>
      </c>
    </row>
    <row r="2087" spans="1:14" s="20" customFormat="1">
      <c r="A2087" s="253"/>
      <c r="B2087" s="231"/>
      <c r="C2087" s="32" t="s">
        <v>946</v>
      </c>
      <c r="D2087" s="77">
        <v>21020103</v>
      </c>
      <c r="E2087" s="240" t="s">
        <v>728</v>
      </c>
      <c r="F2087" s="136">
        <v>2021110.68</v>
      </c>
      <c r="G2087" s="28">
        <v>2021110.68</v>
      </c>
      <c r="H2087" s="28"/>
      <c r="I2087" s="28"/>
      <c r="J2087" s="28">
        <v>2021110.68</v>
      </c>
      <c r="K2087" s="488"/>
      <c r="L2087" s="467">
        <v>2021110.68</v>
      </c>
      <c r="M2087" s="28">
        <v>2260665.6</v>
      </c>
      <c r="N2087" s="28">
        <v>2264988.7200000002</v>
      </c>
    </row>
    <row r="2088" spans="1:14" s="20" customFormat="1">
      <c r="A2088" s="253"/>
      <c r="B2088" s="231"/>
      <c r="C2088" s="32" t="s">
        <v>946</v>
      </c>
      <c r="D2088" s="77">
        <v>21020104</v>
      </c>
      <c r="E2088" s="240" t="s">
        <v>729</v>
      </c>
      <c r="F2088" s="136">
        <v>1946112.96</v>
      </c>
      <c r="G2088" s="28">
        <v>1946112.96</v>
      </c>
      <c r="H2088" s="28"/>
      <c r="I2088" s="28"/>
      <c r="J2088" s="28">
        <v>1946112.96</v>
      </c>
      <c r="K2088" s="488"/>
      <c r="L2088" s="467">
        <v>1946112.96</v>
      </c>
      <c r="M2088" s="28">
        <v>1960674.36</v>
      </c>
      <c r="N2088" s="28">
        <v>1927498.44</v>
      </c>
    </row>
    <row r="2089" spans="1:14" s="20" customFormat="1">
      <c r="A2089" s="253"/>
      <c r="B2089" s="231"/>
      <c r="C2089" s="32" t="s">
        <v>946</v>
      </c>
      <c r="D2089" s="77">
        <v>21020105</v>
      </c>
      <c r="E2089" s="240" t="s">
        <v>730</v>
      </c>
      <c r="F2089" s="136">
        <v>555461.88</v>
      </c>
      <c r="G2089" s="28">
        <v>555461.88</v>
      </c>
      <c r="H2089" s="28"/>
      <c r="I2089" s="28"/>
      <c r="J2089" s="28">
        <v>555461.88</v>
      </c>
      <c r="K2089" s="488"/>
      <c r="L2089" s="467">
        <v>555461.88</v>
      </c>
      <c r="M2089" s="28">
        <v>589416.6</v>
      </c>
      <c r="N2089" s="28">
        <v>536716.92000000004</v>
      </c>
    </row>
    <row r="2090" spans="1:14" s="20" customFormat="1">
      <c r="A2090" s="253"/>
      <c r="B2090" s="231"/>
      <c r="C2090" s="32" t="s">
        <v>946</v>
      </c>
      <c r="D2090" s="77">
        <v>21020106</v>
      </c>
      <c r="E2090" s="240" t="s">
        <v>731</v>
      </c>
      <c r="F2090" s="136">
        <v>3892262.06</v>
      </c>
      <c r="G2090" s="28">
        <v>3892262.06</v>
      </c>
      <c r="H2090" s="28"/>
      <c r="I2090" s="28"/>
      <c r="J2090" s="28">
        <v>3892262.06</v>
      </c>
      <c r="K2090" s="488"/>
      <c r="L2090" s="467">
        <v>3892262.06</v>
      </c>
      <c r="M2090" s="28">
        <v>3921369.26</v>
      </c>
      <c r="N2090" s="28">
        <v>3855030.35</v>
      </c>
    </row>
    <row r="2091" spans="1:14" s="20" customFormat="1">
      <c r="A2091" s="253"/>
      <c r="B2091" s="231"/>
      <c r="C2091" s="32" t="s">
        <v>946</v>
      </c>
      <c r="D2091" s="77">
        <v>21020107</v>
      </c>
      <c r="E2091" s="240" t="s">
        <v>732</v>
      </c>
      <c r="F2091" s="136">
        <v>5184000</v>
      </c>
      <c r="G2091" s="28">
        <v>5184000</v>
      </c>
      <c r="H2091" s="28"/>
      <c r="I2091" s="28"/>
      <c r="J2091" s="28">
        <v>5184000</v>
      </c>
      <c r="K2091" s="488"/>
      <c r="L2091" s="467">
        <v>5184000</v>
      </c>
      <c r="M2091" s="28">
        <v>5616000</v>
      </c>
      <c r="N2091" s="28">
        <v>5400000</v>
      </c>
    </row>
    <row r="2092" spans="1:14" s="20" customFormat="1">
      <c r="A2092" s="253"/>
      <c r="B2092" s="231"/>
      <c r="C2092" s="32" t="s">
        <v>946</v>
      </c>
      <c r="D2092" s="77">
        <v>21020110</v>
      </c>
      <c r="E2092" s="240" t="s">
        <v>733</v>
      </c>
      <c r="F2092" s="136">
        <v>84000</v>
      </c>
      <c r="G2092" s="28">
        <v>84000</v>
      </c>
      <c r="H2092" s="28"/>
      <c r="I2092" s="28"/>
      <c r="J2092" s="28">
        <v>84000</v>
      </c>
      <c r="K2092" s="488"/>
      <c r="L2092" s="467">
        <v>84000</v>
      </c>
      <c r="M2092" s="28">
        <v>84000</v>
      </c>
      <c r="N2092" s="28">
        <v>84000</v>
      </c>
    </row>
    <row r="2093" spans="1:14" s="20" customFormat="1">
      <c r="A2093" s="253"/>
      <c r="B2093" s="231"/>
      <c r="C2093" s="32" t="s">
        <v>946</v>
      </c>
      <c r="D2093" s="77">
        <v>21020124</v>
      </c>
      <c r="E2093" s="240" t="s">
        <v>734</v>
      </c>
      <c r="F2093" s="136">
        <v>89905.2</v>
      </c>
      <c r="G2093" s="28">
        <v>89905.2</v>
      </c>
      <c r="H2093" s="28"/>
      <c r="I2093" s="28"/>
      <c r="J2093" s="28">
        <v>89905.2</v>
      </c>
      <c r="K2093" s="488"/>
      <c r="L2093" s="467">
        <v>89905.2</v>
      </c>
      <c r="M2093" s="28">
        <v>89905.2</v>
      </c>
      <c r="N2093" s="28">
        <v>89905.2</v>
      </c>
    </row>
    <row r="2094" spans="1:14" s="20" customFormat="1">
      <c r="A2094" s="253"/>
      <c r="B2094" s="231"/>
      <c r="C2094" s="32" t="s">
        <v>946</v>
      </c>
      <c r="D2094" s="77">
        <v>21020143</v>
      </c>
      <c r="E2094" s="240" t="s">
        <v>981</v>
      </c>
      <c r="F2094" s="136">
        <v>9958379.8100000005</v>
      </c>
      <c r="G2094" s="28">
        <v>9958379.8100000005</v>
      </c>
      <c r="H2094" s="28"/>
      <c r="I2094" s="28"/>
      <c r="J2094" s="28">
        <v>9958379.8100000005</v>
      </c>
      <c r="K2094" s="488"/>
      <c r="L2094" s="467">
        <v>9958379.8100000005</v>
      </c>
      <c r="M2094" s="28">
        <v>10281310.640000001</v>
      </c>
      <c r="N2094" s="28">
        <v>10023585.75</v>
      </c>
    </row>
    <row r="2095" spans="1:14" s="20" customFormat="1">
      <c r="A2095" s="253"/>
      <c r="B2095" s="231"/>
      <c r="C2095" s="32" t="s">
        <v>946</v>
      </c>
      <c r="D2095" s="77">
        <v>21020150</v>
      </c>
      <c r="E2095" s="240" t="s">
        <v>982</v>
      </c>
      <c r="F2095" s="136">
        <v>1810614.51</v>
      </c>
      <c r="G2095" s="28">
        <v>1810614.51</v>
      </c>
      <c r="H2095" s="28"/>
      <c r="I2095" s="28"/>
      <c r="J2095" s="28">
        <v>1810614.51</v>
      </c>
      <c r="K2095" s="488"/>
      <c r="L2095" s="467">
        <v>1810614.51</v>
      </c>
      <c r="M2095" s="28">
        <v>1869329.21</v>
      </c>
      <c r="N2095" s="28">
        <v>1822488.32</v>
      </c>
    </row>
    <row r="2096" spans="1:14" s="20" customFormat="1">
      <c r="A2096" s="238"/>
      <c r="B2096" s="231"/>
      <c r="C2096" s="30" t="s">
        <v>1836</v>
      </c>
      <c r="D2096" s="23"/>
      <c r="E2096" s="25"/>
      <c r="F2096" s="137">
        <f>SUM(F2084:F2095)</f>
        <v>81091996.060000017</v>
      </c>
      <c r="G2096" s="114">
        <f>SUM(G2084:G2095)</f>
        <v>81091996.060000017</v>
      </c>
      <c r="H2096" s="114">
        <f t="shared" ref="H2096:I2096" si="366">SUM(H2084:H2095)</f>
        <v>0</v>
      </c>
      <c r="I2096" s="114">
        <f t="shared" si="366"/>
        <v>0</v>
      </c>
      <c r="J2096" s="114">
        <f>SUM(J2084:J2095)</f>
        <v>81091996.060000017</v>
      </c>
      <c r="K2096" s="490"/>
      <c r="L2096" s="468">
        <f>SUM(L2084:L2095)</f>
        <v>81091996.060000017</v>
      </c>
      <c r="M2096" s="114">
        <f>SUM(M2084:M2095)</f>
        <v>83513810.670000002</v>
      </c>
      <c r="N2096" s="114">
        <f>SUM(N2084:N2095)</f>
        <v>80937266.899999991</v>
      </c>
    </row>
    <row r="2097" spans="1:14" s="20" customFormat="1">
      <c r="A2097" s="253"/>
      <c r="B2097" s="231"/>
      <c r="C2097" s="32" t="s">
        <v>47</v>
      </c>
      <c r="D2097" s="77">
        <v>22020105</v>
      </c>
      <c r="E2097" s="240" t="s">
        <v>1733</v>
      </c>
      <c r="F2097" s="136">
        <v>330800</v>
      </c>
      <c r="G2097" s="28">
        <v>330800</v>
      </c>
      <c r="H2097" s="28"/>
      <c r="I2097" s="28"/>
      <c r="J2097" s="28">
        <v>330800</v>
      </c>
      <c r="K2097" s="488">
        <f>J2097*4.38%</f>
        <v>14489.039999999999</v>
      </c>
      <c r="L2097" s="469">
        <v>316310.96000000002</v>
      </c>
      <c r="M2097" s="28">
        <v>330800</v>
      </c>
      <c r="N2097" s="28">
        <v>330800</v>
      </c>
    </row>
    <row r="2098" spans="1:14" s="20" customFormat="1">
      <c r="A2098" s="253"/>
      <c r="B2098" s="231"/>
      <c r="C2098" s="32" t="s">
        <v>47</v>
      </c>
      <c r="D2098" s="77">
        <v>22020108</v>
      </c>
      <c r="E2098" s="240" t="s">
        <v>812</v>
      </c>
      <c r="F2098" s="136">
        <v>21000</v>
      </c>
      <c r="G2098" s="28">
        <v>21000</v>
      </c>
      <c r="H2098" s="28"/>
      <c r="I2098" s="28"/>
      <c r="J2098" s="28">
        <v>21000</v>
      </c>
      <c r="K2098" s="488">
        <f t="shared" ref="K2098:K2114" si="367">J2098*4.38%</f>
        <v>919.8</v>
      </c>
      <c r="L2098" s="469">
        <v>20080.2</v>
      </c>
      <c r="M2098" s="28">
        <v>21000</v>
      </c>
      <c r="N2098" s="28">
        <v>21000</v>
      </c>
    </row>
    <row r="2099" spans="1:14" s="20" customFormat="1">
      <c r="A2099" s="253"/>
      <c r="B2099" s="231"/>
      <c r="C2099" s="32" t="s">
        <v>47</v>
      </c>
      <c r="D2099" s="77">
        <v>22020201</v>
      </c>
      <c r="E2099" s="240" t="s">
        <v>849</v>
      </c>
      <c r="F2099" s="136">
        <v>105750</v>
      </c>
      <c r="G2099" s="28">
        <v>105750</v>
      </c>
      <c r="H2099" s="28"/>
      <c r="I2099" s="28"/>
      <c r="J2099" s="28">
        <v>105750</v>
      </c>
      <c r="K2099" s="488">
        <f t="shared" si="367"/>
        <v>4631.8499999999995</v>
      </c>
      <c r="L2099" s="469">
        <v>101118.15000000001</v>
      </c>
      <c r="M2099" s="28">
        <v>105750</v>
      </c>
      <c r="N2099" s="28">
        <v>105750</v>
      </c>
    </row>
    <row r="2100" spans="1:14" s="20" customFormat="1">
      <c r="A2100" s="253"/>
      <c r="B2100" s="231"/>
      <c r="C2100" s="32" t="s">
        <v>47</v>
      </c>
      <c r="D2100" s="77">
        <v>22020205</v>
      </c>
      <c r="E2100" s="240" t="s">
        <v>850</v>
      </c>
      <c r="F2100" s="136">
        <v>85500</v>
      </c>
      <c r="G2100" s="28">
        <v>85500</v>
      </c>
      <c r="H2100" s="28"/>
      <c r="I2100" s="28"/>
      <c r="J2100" s="28">
        <v>85500</v>
      </c>
      <c r="K2100" s="488">
        <f t="shared" si="367"/>
        <v>3744.9</v>
      </c>
      <c r="L2100" s="469">
        <v>81755.100000000006</v>
      </c>
      <c r="M2100" s="28">
        <v>85500</v>
      </c>
      <c r="N2100" s="28">
        <v>85500</v>
      </c>
    </row>
    <row r="2101" spans="1:14" s="20" customFormat="1">
      <c r="A2101" s="253"/>
      <c r="B2101" s="231"/>
      <c r="C2101" s="32" t="s">
        <v>47</v>
      </c>
      <c r="D2101" s="77">
        <v>22020209</v>
      </c>
      <c r="E2101" s="240" t="s">
        <v>750</v>
      </c>
      <c r="F2101" s="136">
        <v>10000</v>
      </c>
      <c r="G2101" s="28">
        <v>10000</v>
      </c>
      <c r="H2101" s="28"/>
      <c r="I2101" s="28"/>
      <c r="J2101" s="28">
        <v>10000</v>
      </c>
      <c r="K2101" s="488">
        <f t="shared" si="367"/>
        <v>438</v>
      </c>
      <c r="L2101" s="469">
        <v>9562</v>
      </c>
      <c r="M2101" s="28">
        <v>10000</v>
      </c>
      <c r="N2101" s="28">
        <v>10000</v>
      </c>
    </row>
    <row r="2102" spans="1:14" s="20" customFormat="1">
      <c r="A2102" s="253"/>
      <c r="B2102" s="231"/>
      <c r="C2102" s="32" t="s">
        <v>47</v>
      </c>
      <c r="D2102" s="77">
        <v>22020301</v>
      </c>
      <c r="E2102" s="135" t="s">
        <v>737</v>
      </c>
      <c r="F2102" s="136">
        <v>383600</v>
      </c>
      <c r="G2102" s="28">
        <v>383600</v>
      </c>
      <c r="H2102" s="28"/>
      <c r="I2102" s="28"/>
      <c r="J2102" s="28">
        <v>383600</v>
      </c>
      <c r="K2102" s="488">
        <f t="shared" si="367"/>
        <v>16801.68</v>
      </c>
      <c r="L2102" s="469">
        <v>366798.32</v>
      </c>
      <c r="M2102" s="28">
        <v>383600</v>
      </c>
      <c r="N2102" s="28">
        <v>383600</v>
      </c>
    </row>
    <row r="2103" spans="1:14" s="20" customFormat="1">
      <c r="A2103" s="253"/>
      <c r="B2103" s="231"/>
      <c r="C2103" s="32" t="s">
        <v>47</v>
      </c>
      <c r="D2103" s="77">
        <v>22020302</v>
      </c>
      <c r="E2103" s="240" t="s">
        <v>872</v>
      </c>
      <c r="F2103" s="136">
        <v>336000</v>
      </c>
      <c r="G2103" s="28">
        <v>336000</v>
      </c>
      <c r="H2103" s="28"/>
      <c r="I2103" s="28"/>
      <c r="J2103" s="28">
        <v>336000</v>
      </c>
      <c r="K2103" s="488">
        <f t="shared" si="367"/>
        <v>14716.8</v>
      </c>
      <c r="L2103" s="469">
        <v>321283.20000000001</v>
      </c>
      <c r="M2103" s="28">
        <v>336000</v>
      </c>
      <c r="N2103" s="28">
        <v>336000</v>
      </c>
    </row>
    <row r="2104" spans="1:14" s="20" customFormat="1">
      <c r="A2104" s="253"/>
      <c r="B2104" s="231"/>
      <c r="C2104" s="32" t="s">
        <v>47</v>
      </c>
      <c r="D2104" s="77">
        <v>22020305</v>
      </c>
      <c r="E2104" s="240" t="s">
        <v>755</v>
      </c>
      <c r="F2104" s="136">
        <v>226300</v>
      </c>
      <c r="G2104" s="28">
        <v>226300</v>
      </c>
      <c r="H2104" s="28"/>
      <c r="I2104" s="28"/>
      <c r="J2104" s="28">
        <v>226300</v>
      </c>
      <c r="K2104" s="488">
        <f t="shared" si="367"/>
        <v>9911.94</v>
      </c>
      <c r="L2104" s="469">
        <v>216388.06</v>
      </c>
      <c r="M2104" s="28">
        <v>226300</v>
      </c>
      <c r="N2104" s="28">
        <v>226300</v>
      </c>
    </row>
    <row r="2105" spans="1:14" s="20" customFormat="1">
      <c r="A2105" s="253"/>
      <c r="B2105" s="231"/>
      <c r="C2105" s="32" t="s">
        <v>47</v>
      </c>
      <c r="D2105" s="77">
        <v>22020307</v>
      </c>
      <c r="E2105" s="240" t="s">
        <v>822</v>
      </c>
      <c r="F2105" s="136">
        <v>164040</v>
      </c>
      <c r="G2105" s="28">
        <v>164040</v>
      </c>
      <c r="H2105" s="28"/>
      <c r="I2105" s="28"/>
      <c r="J2105" s="28">
        <v>164040</v>
      </c>
      <c r="K2105" s="488">
        <f t="shared" si="367"/>
        <v>7184.9520000000002</v>
      </c>
      <c r="L2105" s="469">
        <v>156855.04800000001</v>
      </c>
      <c r="M2105" s="28">
        <v>164040</v>
      </c>
      <c r="N2105" s="28">
        <v>164040</v>
      </c>
    </row>
    <row r="2106" spans="1:14" s="20" customFormat="1">
      <c r="A2106" s="253"/>
      <c r="B2106" s="231"/>
      <c r="C2106" s="32" t="s">
        <v>47</v>
      </c>
      <c r="D2106" s="77">
        <v>22020401</v>
      </c>
      <c r="E2106" s="135" t="s">
        <v>1728</v>
      </c>
      <c r="F2106" s="136">
        <v>189000</v>
      </c>
      <c r="G2106" s="28">
        <v>189000</v>
      </c>
      <c r="H2106" s="28"/>
      <c r="I2106" s="28"/>
      <c r="J2106" s="28">
        <v>189000</v>
      </c>
      <c r="K2106" s="488">
        <f t="shared" si="367"/>
        <v>8278.1999999999989</v>
      </c>
      <c r="L2106" s="469">
        <v>180721.80000000002</v>
      </c>
      <c r="M2106" s="28">
        <v>189000</v>
      </c>
      <c r="N2106" s="28">
        <v>189000</v>
      </c>
    </row>
    <row r="2107" spans="1:14" s="20" customFormat="1">
      <c r="A2107" s="253"/>
      <c r="B2107" s="231"/>
      <c r="C2107" s="32" t="s">
        <v>47</v>
      </c>
      <c r="D2107" s="77">
        <v>22020405</v>
      </c>
      <c r="E2107" s="135" t="s">
        <v>743</v>
      </c>
      <c r="F2107" s="136">
        <v>135000</v>
      </c>
      <c r="G2107" s="28">
        <v>135000</v>
      </c>
      <c r="H2107" s="28"/>
      <c r="I2107" s="28"/>
      <c r="J2107" s="28">
        <v>135000</v>
      </c>
      <c r="K2107" s="488">
        <f t="shared" si="367"/>
        <v>5913</v>
      </c>
      <c r="L2107" s="469">
        <v>129087</v>
      </c>
      <c r="M2107" s="28">
        <v>135000</v>
      </c>
      <c r="N2107" s="28">
        <v>135000</v>
      </c>
    </row>
    <row r="2108" spans="1:14" s="20" customFormat="1">
      <c r="A2108" s="253"/>
      <c r="B2108" s="231"/>
      <c r="C2108" s="32" t="s">
        <v>47</v>
      </c>
      <c r="D2108" s="77">
        <v>22020414</v>
      </c>
      <c r="E2108" s="135" t="s">
        <v>877</v>
      </c>
      <c r="F2108" s="136">
        <v>350000</v>
      </c>
      <c r="G2108" s="28">
        <v>150000</v>
      </c>
      <c r="H2108" s="28"/>
      <c r="I2108" s="28"/>
      <c r="J2108" s="28">
        <v>150000</v>
      </c>
      <c r="K2108" s="488">
        <f t="shared" si="367"/>
        <v>6570</v>
      </c>
      <c r="L2108" s="469">
        <v>143430</v>
      </c>
      <c r="M2108" s="28">
        <v>350000</v>
      </c>
      <c r="N2108" s="28">
        <v>350000</v>
      </c>
    </row>
    <row r="2109" spans="1:14" s="20" customFormat="1">
      <c r="A2109" s="253"/>
      <c r="B2109" s="231"/>
      <c r="C2109" s="32" t="s">
        <v>47</v>
      </c>
      <c r="D2109" s="77">
        <v>22020801</v>
      </c>
      <c r="E2109" s="240" t="s">
        <v>747</v>
      </c>
      <c r="F2109" s="136">
        <v>139200</v>
      </c>
      <c r="G2109" s="28">
        <v>139200</v>
      </c>
      <c r="H2109" s="28"/>
      <c r="I2109" s="28"/>
      <c r="J2109" s="28">
        <v>139200</v>
      </c>
      <c r="K2109" s="488">
        <f t="shared" si="367"/>
        <v>6096.96</v>
      </c>
      <c r="L2109" s="469">
        <v>133103.04000000001</v>
      </c>
      <c r="M2109" s="28">
        <v>139200</v>
      </c>
      <c r="N2109" s="28">
        <v>139200</v>
      </c>
    </row>
    <row r="2110" spans="1:14" s="20" customFormat="1">
      <c r="A2110" s="253"/>
      <c r="B2110" s="231"/>
      <c r="C2110" s="32" t="s">
        <v>47</v>
      </c>
      <c r="D2110" s="77">
        <v>22020803</v>
      </c>
      <c r="E2110" s="240" t="s">
        <v>748</v>
      </c>
      <c r="F2110" s="136">
        <v>501900</v>
      </c>
      <c r="G2110" s="28">
        <v>200000</v>
      </c>
      <c r="H2110" s="28"/>
      <c r="I2110" s="28"/>
      <c r="J2110" s="28">
        <v>200000</v>
      </c>
      <c r="K2110" s="488">
        <f t="shared" si="367"/>
        <v>8760</v>
      </c>
      <c r="L2110" s="469">
        <v>191240</v>
      </c>
      <c r="M2110" s="28">
        <v>501900</v>
      </c>
      <c r="N2110" s="28">
        <v>501900</v>
      </c>
    </row>
    <row r="2111" spans="1:14" s="20" customFormat="1">
      <c r="A2111" s="253"/>
      <c r="B2111" s="231"/>
      <c r="C2111" s="32" t="s">
        <v>47</v>
      </c>
      <c r="D2111" s="77">
        <v>22020901</v>
      </c>
      <c r="E2111" s="240" t="s">
        <v>749</v>
      </c>
      <c r="F2111" s="136">
        <v>92303.22</v>
      </c>
      <c r="G2111" s="28">
        <v>5000</v>
      </c>
      <c r="H2111" s="28"/>
      <c r="I2111" s="28"/>
      <c r="J2111" s="28">
        <v>5000</v>
      </c>
      <c r="K2111" s="488">
        <f t="shared" si="367"/>
        <v>219</v>
      </c>
      <c r="L2111" s="469">
        <v>4781</v>
      </c>
      <c r="M2111" s="28">
        <v>92303.22</v>
      </c>
      <c r="N2111" s="28">
        <v>92303.22</v>
      </c>
    </row>
    <row r="2112" spans="1:14" s="20" customFormat="1">
      <c r="A2112" s="253"/>
      <c r="B2112" s="231"/>
      <c r="C2112" s="32" t="s">
        <v>47</v>
      </c>
      <c r="D2112" s="77">
        <v>22021001</v>
      </c>
      <c r="E2112" s="240" t="s">
        <v>772</v>
      </c>
      <c r="F2112" s="136">
        <v>464200</v>
      </c>
      <c r="G2112" s="28">
        <v>464200</v>
      </c>
      <c r="H2112" s="28"/>
      <c r="I2112" s="28"/>
      <c r="J2112" s="28">
        <v>464200</v>
      </c>
      <c r="K2112" s="488">
        <f t="shared" si="367"/>
        <v>20331.96</v>
      </c>
      <c r="L2112" s="469">
        <v>443868.04000000004</v>
      </c>
      <c r="M2112" s="28">
        <v>464200</v>
      </c>
      <c r="N2112" s="28">
        <v>464200</v>
      </c>
    </row>
    <row r="2113" spans="1:14" s="20" customFormat="1">
      <c r="A2113" s="253"/>
      <c r="B2113" s="231"/>
      <c r="C2113" s="32" t="s">
        <v>47</v>
      </c>
      <c r="D2113" s="77">
        <v>22021009</v>
      </c>
      <c r="E2113" s="240" t="s">
        <v>873</v>
      </c>
      <c r="F2113" s="136">
        <v>424000</v>
      </c>
      <c r="G2113" s="28">
        <v>300000</v>
      </c>
      <c r="H2113" s="28"/>
      <c r="I2113" s="28"/>
      <c r="J2113" s="28">
        <v>300000</v>
      </c>
      <c r="K2113" s="488">
        <f t="shared" si="367"/>
        <v>13140</v>
      </c>
      <c r="L2113" s="469">
        <v>286860</v>
      </c>
      <c r="M2113" s="28">
        <v>424000</v>
      </c>
      <c r="N2113" s="28">
        <v>424000</v>
      </c>
    </row>
    <row r="2114" spans="1:14" s="20" customFormat="1">
      <c r="A2114" s="238"/>
      <c r="B2114" s="231"/>
      <c r="C2114" s="30" t="s">
        <v>1839</v>
      </c>
      <c r="D2114" s="23"/>
      <c r="E2114" s="25"/>
      <c r="F2114" s="137">
        <f>SUM(F2097:F2113)</f>
        <v>3958593.22</v>
      </c>
      <c r="G2114" s="114">
        <f>SUM(G2097:G2113)</f>
        <v>3245390</v>
      </c>
      <c r="H2114" s="114">
        <f t="shared" ref="H2114:I2114" si="368">SUM(H2097:H2113)</f>
        <v>0</v>
      </c>
      <c r="I2114" s="114">
        <f t="shared" si="368"/>
        <v>0</v>
      </c>
      <c r="J2114" s="114">
        <f>SUM(J2097:J2113)</f>
        <v>3245390</v>
      </c>
      <c r="K2114" s="490">
        <f t="shared" si="367"/>
        <v>142148.08199999999</v>
      </c>
      <c r="L2114" s="468">
        <f>SUM(L2097:L2113)</f>
        <v>3103241.9180000001</v>
      </c>
      <c r="M2114" s="114">
        <f>SUM(M2097:M2113)</f>
        <v>3958593.22</v>
      </c>
      <c r="N2114" s="114">
        <f>SUM(N2097:N2113)</f>
        <v>3958593.22</v>
      </c>
    </row>
    <row r="2115" spans="1:14" s="66" customFormat="1" ht="14.25" customHeight="1">
      <c r="A2115" s="238" t="s">
        <v>1055</v>
      </c>
      <c r="B2115" s="231" t="s">
        <v>1825</v>
      </c>
      <c r="C2115" s="30"/>
      <c r="D2115" s="23"/>
      <c r="E2115" s="25"/>
      <c r="F2115" s="137">
        <f>F2114+F2096</f>
        <v>85050589.280000016</v>
      </c>
      <c r="G2115" s="114">
        <f>G2114+G2096</f>
        <v>84337386.060000017</v>
      </c>
      <c r="H2115" s="114">
        <f t="shared" ref="H2115:I2115" si="369">H2114+H2096</f>
        <v>0</v>
      </c>
      <c r="I2115" s="114">
        <f t="shared" si="369"/>
        <v>0</v>
      </c>
      <c r="J2115" s="114">
        <f>J2114+J2096</f>
        <v>84337386.060000017</v>
      </c>
      <c r="K2115" s="490"/>
      <c r="L2115" s="468">
        <f>L2114+L2096</f>
        <v>84195237.978000015</v>
      </c>
      <c r="M2115" s="114">
        <f>M2114+M2096</f>
        <v>87472403.890000001</v>
      </c>
      <c r="N2115" s="114">
        <f>N2114+N2096</f>
        <v>84895860.11999999</v>
      </c>
    </row>
    <row r="2116" spans="1:14" s="20" customFormat="1" ht="21">
      <c r="A2116" s="252"/>
      <c r="B2116" s="443"/>
      <c r="C2116" s="228"/>
      <c r="D2116" s="229"/>
      <c r="E2116" s="337"/>
      <c r="F2116" s="215"/>
      <c r="G2116" s="296"/>
      <c r="H2116" s="296"/>
      <c r="I2116" s="296"/>
      <c r="J2116" s="28"/>
      <c r="K2116" s="488"/>
      <c r="L2116" s="468"/>
      <c r="M2116" s="296"/>
      <c r="N2116" s="296"/>
    </row>
    <row r="2117" spans="1:14" s="20" customFormat="1">
      <c r="A2117" s="238" t="s">
        <v>1056</v>
      </c>
      <c r="B2117" s="231" t="s">
        <v>127</v>
      </c>
      <c r="C2117" s="32" t="s">
        <v>946</v>
      </c>
      <c r="D2117" s="77">
        <v>21010101</v>
      </c>
      <c r="E2117" s="240" t="s">
        <v>725</v>
      </c>
      <c r="F2117" s="138">
        <v>14181035.880000001</v>
      </c>
      <c r="G2117" s="297">
        <v>14181035.880000001</v>
      </c>
      <c r="H2117" s="297"/>
      <c r="I2117" s="297"/>
      <c r="J2117" s="28">
        <v>14181035.880000001</v>
      </c>
      <c r="K2117" s="488"/>
      <c r="L2117" s="467">
        <v>14181035.880000001</v>
      </c>
      <c r="M2117" s="297">
        <v>14451682.560000001</v>
      </c>
      <c r="N2117" s="297">
        <v>14451158.039999999</v>
      </c>
    </row>
    <row r="2118" spans="1:14" s="20" customFormat="1">
      <c r="A2118" s="253"/>
      <c r="B2118" s="231"/>
      <c r="C2118" s="32" t="s">
        <v>946</v>
      </c>
      <c r="D2118" s="77">
        <v>21020101</v>
      </c>
      <c r="E2118" s="240" t="s">
        <v>726</v>
      </c>
      <c r="F2118" s="138">
        <v>3409230.12</v>
      </c>
      <c r="G2118" s="297">
        <v>3409230.12</v>
      </c>
      <c r="H2118" s="297"/>
      <c r="I2118" s="297"/>
      <c r="J2118" s="28">
        <v>3409230.12</v>
      </c>
      <c r="K2118" s="488"/>
      <c r="L2118" s="467">
        <v>3409230.12</v>
      </c>
      <c r="M2118" s="297">
        <v>3612923.88</v>
      </c>
      <c r="N2118" s="297">
        <v>3612795.72</v>
      </c>
    </row>
    <row r="2119" spans="1:14" s="20" customFormat="1">
      <c r="A2119" s="253"/>
      <c r="B2119" s="231"/>
      <c r="C2119" s="32" t="s">
        <v>946</v>
      </c>
      <c r="D2119" s="77">
        <v>21020102</v>
      </c>
      <c r="E2119" s="240" t="s">
        <v>727</v>
      </c>
      <c r="F2119" s="225" t="s">
        <v>1057</v>
      </c>
      <c r="G2119" s="400">
        <v>1420119.36</v>
      </c>
      <c r="H2119" s="400"/>
      <c r="I2119" s="400"/>
      <c r="J2119" s="28">
        <v>1420119.36</v>
      </c>
      <c r="K2119" s="488"/>
      <c r="L2119" s="467">
        <v>1420119.36</v>
      </c>
      <c r="M2119" s="297">
        <v>1445170.8</v>
      </c>
      <c r="N2119" s="297">
        <v>1443589.44</v>
      </c>
    </row>
    <row r="2120" spans="1:14" s="20" customFormat="1">
      <c r="A2120" s="253"/>
      <c r="B2120" s="231"/>
      <c r="C2120" s="32" t="s">
        <v>946</v>
      </c>
      <c r="D2120" s="77">
        <v>21020103</v>
      </c>
      <c r="E2120" s="240" t="s">
        <v>728</v>
      </c>
      <c r="F2120" s="138">
        <v>710058.6</v>
      </c>
      <c r="G2120" s="297">
        <v>710058.6</v>
      </c>
      <c r="H2120" s="297"/>
      <c r="I2120" s="297"/>
      <c r="J2120" s="28">
        <v>710058.6</v>
      </c>
      <c r="K2120" s="488"/>
      <c r="L2120" s="467">
        <v>710058.6</v>
      </c>
      <c r="M2120" s="297">
        <v>722585.28</v>
      </c>
      <c r="N2120" s="297">
        <v>722136.72</v>
      </c>
    </row>
    <row r="2121" spans="1:14" s="20" customFormat="1">
      <c r="A2121" s="253"/>
      <c r="B2121" s="231"/>
      <c r="C2121" s="32" t="s">
        <v>946</v>
      </c>
      <c r="D2121" s="77">
        <v>21020104</v>
      </c>
      <c r="E2121" s="240" t="s">
        <v>729</v>
      </c>
      <c r="F2121" s="138">
        <v>710058.6</v>
      </c>
      <c r="G2121" s="297">
        <v>710058.6</v>
      </c>
      <c r="H2121" s="297"/>
      <c r="I2121" s="297"/>
      <c r="J2121" s="28">
        <v>710058.6</v>
      </c>
      <c r="K2121" s="488"/>
      <c r="L2121" s="467">
        <v>710058.6</v>
      </c>
      <c r="M2121" s="297">
        <v>722585.28</v>
      </c>
      <c r="N2121" s="297">
        <v>722136.72</v>
      </c>
    </row>
    <row r="2122" spans="1:14" s="20" customFormat="1">
      <c r="A2122" s="253"/>
      <c r="B2122" s="231"/>
      <c r="C2122" s="32" t="s">
        <v>946</v>
      </c>
      <c r="D2122" s="77">
        <v>21020105</v>
      </c>
      <c r="E2122" s="240" t="s">
        <v>730</v>
      </c>
      <c r="F2122" s="138">
        <v>249080.28</v>
      </c>
      <c r="G2122" s="297">
        <v>249080.28</v>
      </c>
      <c r="H2122" s="297"/>
      <c r="I2122" s="297"/>
      <c r="J2122" s="28">
        <v>249080.28</v>
      </c>
      <c r="K2122" s="488"/>
      <c r="L2122" s="467">
        <v>249080.28</v>
      </c>
      <c r="M2122" s="297">
        <v>286965.59999999998</v>
      </c>
      <c r="N2122" s="297">
        <v>288004.92</v>
      </c>
    </row>
    <row r="2123" spans="1:14" s="20" customFormat="1">
      <c r="A2123" s="253"/>
      <c r="B2123" s="231"/>
      <c r="C2123" s="32" t="s">
        <v>946</v>
      </c>
      <c r="D2123" s="77">
        <v>21020106</v>
      </c>
      <c r="E2123" s="240" t="s">
        <v>731</v>
      </c>
      <c r="F2123" s="138">
        <v>1414983.12</v>
      </c>
      <c r="G2123" s="297">
        <v>1414983.12</v>
      </c>
      <c r="H2123" s="297"/>
      <c r="I2123" s="297"/>
      <c r="J2123" s="28">
        <v>1414983.12</v>
      </c>
      <c r="K2123" s="488"/>
      <c r="L2123" s="467">
        <v>1414983.12</v>
      </c>
      <c r="M2123" s="297">
        <v>1443429</v>
      </c>
      <c r="N2123" s="297">
        <v>1445786.52</v>
      </c>
    </row>
    <row r="2124" spans="1:14" s="20" customFormat="1">
      <c r="A2124" s="253"/>
      <c r="B2124" s="231"/>
      <c r="C2124" s="32" t="s">
        <v>946</v>
      </c>
      <c r="D2124" s="77">
        <v>21020107</v>
      </c>
      <c r="E2124" s="240" t="s">
        <v>732</v>
      </c>
      <c r="F2124" s="138">
        <v>2808000</v>
      </c>
      <c r="G2124" s="297">
        <v>2808000</v>
      </c>
      <c r="H2124" s="297"/>
      <c r="I2124" s="297"/>
      <c r="J2124" s="28">
        <v>2808000</v>
      </c>
      <c r="K2124" s="488"/>
      <c r="L2124" s="467">
        <v>2808000</v>
      </c>
      <c r="M2124" s="297">
        <v>3024000</v>
      </c>
      <c r="N2124" s="297">
        <v>3024000</v>
      </c>
    </row>
    <row r="2125" spans="1:14" s="20" customFormat="1">
      <c r="A2125" s="253"/>
      <c r="B2125" s="231"/>
      <c r="C2125" s="32" t="s">
        <v>946</v>
      </c>
      <c r="D2125" s="77">
        <v>21020143</v>
      </c>
      <c r="E2125" s="240" t="s">
        <v>981</v>
      </c>
      <c r="F2125" s="138">
        <v>1502157.6</v>
      </c>
      <c r="G2125" s="297">
        <v>1502157.6</v>
      </c>
      <c r="H2125" s="297"/>
      <c r="I2125" s="297"/>
      <c r="J2125" s="28">
        <v>1502157.6</v>
      </c>
      <c r="K2125" s="488"/>
      <c r="L2125" s="467">
        <v>1502157.6</v>
      </c>
      <c r="M2125" s="297">
        <v>1514712</v>
      </c>
      <c r="N2125" s="297">
        <v>1514712.72</v>
      </c>
    </row>
    <row r="2126" spans="1:14" s="20" customFormat="1">
      <c r="A2126" s="238"/>
      <c r="B2126" s="231"/>
      <c r="C2126" s="30" t="s">
        <v>1836</v>
      </c>
      <c r="D2126" s="23"/>
      <c r="E2126" s="25"/>
      <c r="F2126" s="137">
        <f>SUM(F2117:F2125)</f>
        <v>24984604.200000007</v>
      </c>
      <c r="G2126" s="114">
        <f>SUM(G2117:G2125)</f>
        <v>26404723.560000006</v>
      </c>
      <c r="H2126" s="114">
        <f t="shared" ref="H2126:I2126" si="370">SUM(H2117:H2125)</f>
        <v>0</v>
      </c>
      <c r="I2126" s="114">
        <f t="shared" si="370"/>
        <v>0</v>
      </c>
      <c r="J2126" s="114">
        <f>SUM(J2117:J2125)</f>
        <v>26404723.560000006</v>
      </c>
      <c r="K2126" s="490"/>
      <c r="L2126" s="468">
        <f>SUM(L2117:L2125)</f>
        <v>26404723.560000006</v>
      </c>
      <c r="M2126" s="114">
        <f>SUM(M2117:M2125)</f>
        <v>27224054.400000006</v>
      </c>
      <c r="N2126" s="114">
        <f>SUM(N2117:N2125)</f>
        <v>27224320.799999997</v>
      </c>
    </row>
    <row r="2127" spans="1:14" s="20" customFormat="1">
      <c r="A2127" s="253"/>
      <c r="B2127" s="231"/>
      <c r="C2127" s="32" t="s">
        <v>47</v>
      </c>
      <c r="D2127" s="77">
        <v>22020108</v>
      </c>
      <c r="E2127" s="240" t="s">
        <v>812</v>
      </c>
      <c r="F2127" s="138">
        <f>126000+5794000</f>
        <v>5920000</v>
      </c>
      <c r="G2127" s="297">
        <v>3920000</v>
      </c>
      <c r="H2127" s="297"/>
      <c r="I2127" s="297"/>
      <c r="J2127" s="28">
        <v>3920000</v>
      </c>
      <c r="K2127" s="488">
        <f>J2127*4.38%</f>
        <v>171696</v>
      </c>
      <c r="L2127" s="469">
        <v>3748304</v>
      </c>
      <c r="M2127" s="297">
        <v>126000</v>
      </c>
      <c r="N2127" s="297">
        <v>126000</v>
      </c>
    </row>
    <row r="2128" spans="1:14" s="20" customFormat="1">
      <c r="A2128" s="253"/>
      <c r="B2128" s="231"/>
      <c r="C2128" s="32" t="s">
        <v>47</v>
      </c>
      <c r="D2128" s="239">
        <v>22020105</v>
      </c>
      <c r="E2128" s="240" t="s">
        <v>1737</v>
      </c>
      <c r="F2128" s="138">
        <v>2832000</v>
      </c>
      <c r="G2128" s="297">
        <v>2832000</v>
      </c>
      <c r="H2128" s="297"/>
      <c r="I2128" s="297">
        <v>932000</v>
      </c>
      <c r="J2128" s="28">
        <v>1900000</v>
      </c>
      <c r="K2128" s="488">
        <f t="shared" ref="K2128:K2145" si="371">J2128*4.38%</f>
        <v>83220</v>
      </c>
      <c r="L2128" s="469">
        <v>1816780</v>
      </c>
      <c r="M2128" s="297">
        <v>2832000</v>
      </c>
      <c r="N2128" s="297">
        <v>2832000</v>
      </c>
    </row>
    <row r="2129" spans="1:14" s="20" customFormat="1">
      <c r="A2129" s="253"/>
      <c r="B2129" s="231"/>
      <c r="C2129" s="32" t="s">
        <v>47</v>
      </c>
      <c r="D2129" s="239">
        <v>22020301</v>
      </c>
      <c r="E2129" s="135" t="s">
        <v>737</v>
      </c>
      <c r="F2129" s="138">
        <v>256000</v>
      </c>
      <c r="G2129" s="297">
        <v>256000</v>
      </c>
      <c r="H2129" s="297"/>
      <c r="I2129" s="297"/>
      <c r="J2129" s="28">
        <v>256000</v>
      </c>
      <c r="K2129" s="488">
        <f t="shared" si="371"/>
        <v>11212.8</v>
      </c>
      <c r="L2129" s="469">
        <v>244787.20000000001</v>
      </c>
      <c r="M2129" s="297">
        <v>256000</v>
      </c>
      <c r="N2129" s="297">
        <v>256000</v>
      </c>
    </row>
    <row r="2130" spans="1:14" s="20" customFormat="1">
      <c r="A2130" s="253"/>
      <c r="B2130" s="231"/>
      <c r="C2130" s="32" t="s">
        <v>47</v>
      </c>
      <c r="D2130" s="239">
        <v>22020303</v>
      </c>
      <c r="E2130" s="135" t="s">
        <v>738</v>
      </c>
      <c r="F2130" s="138">
        <v>48000</v>
      </c>
      <c r="G2130" s="297">
        <v>0</v>
      </c>
      <c r="H2130" s="297">
        <v>200000</v>
      </c>
      <c r="I2130" s="297"/>
      <c r="J2130" s="28">
        <v>200000</v>
      </c>
      <c r="K2130" s="488">
        <f t="shared" si="371"/>
        <v>8760</v>
      </c>
      <c r="L2130" s="469">
        <v>191240</v>
      </c>
      <c r="M2130" s="297">
        <v>48000</v>
      </c>
      <c r="N2130" s="297">
        <v>48000</v>
      </c>
    </row>
    <row r="2131" spans="1:14" s="20" customFormat="1">
      <c r="A2131" s="253"/>
      <c r="B2131" s="231"/>
      <c r="C2131" s="32" t="s">
        <v>47</v>
      </c>
      <c r="D2131" s="239">
        <v>22020305</v>
      </c>
      <c r="E2131" s="135" t="s">
        <v>755</v>
      </c>
      <c r="F2131" s="138">
        <v>120000</v>
      </c>
      <c r="G2131" s="297">
        <v>120000</v>
      </c>
      <c r="H2131" s="297"/>
      <c r="I2131" s="297"/>
      <c r="J2131" s="28">
        <v>120000</v>
      </c>
      <c r="K2131" s="488">
        <f t="shared" si="371"/>
        <v>5256</v>
      </c>
      <c r="L2131" s="469">
        <v>114744</v>
      </c>
      <c r="M2131" s="297">
        <v>120000</v>
      </c>
      <c r="N2131" s="297">
        <v>120000</v>
      </c>
    </row>
    <row r="2132" spans="1:14" s="20" customFormat="1">
      <c r="A2132" s="253"/>
      <c r="B2132" s="231"/>
      <c r="C2132" s="32" t="s">
        <v>47</v>
      </c>
      <c r="D2132" s="239">
        <v>22020401</v>
      </c>
      <c r="E2132" s="135" t="s">
        <v>741</v>
      </c>
      <c r="F2132" s="138">
        <v>480000</v>
      </c>
      <c r="G2132" s="297">
        <v>480000</v>
      </c>
      <c r="H2132" s="297"/>
      <c r="I2132" s="297"/>
      <c r="J2132" s="28">
        <v>480000</v>
      </c>
      <c r="K2132" s="488">
        <f t="shared" si="371"/>
        <v>21024</v>
      </c>
      <c r="L2132" s="469">
        <v>458976</v>
      </c>
      <c r="M2132" s="297">
        <v>480000</v>
      </c>
      <c r="N2132" s="297">
        <v>480000</v>
      </c>
    </row>
    <row r="2133" spans="1:14" s="20" customFormat="1">
      <c r="A2133" s="253"/>
      <c r="B2133" s="231"/>
      <c r="C2133" s="32" t="s">
        <v>47</v>
      </c>
      <c r="D2133" s="239">
        <v>22020402</v>
      </c>
      <c r="E2133" s="240" t="s">
        <v>757</v>
      </c>
      <c r="F2133" s="138">
        <v>75000</v>
      </c>
      <c r="G2133" s="297">
        <v>75000</v>
      </c>
      <c r="H2133" s="297"/>
      <c r="I2133" s="297"/>
      <c r="J2133" s="28">
        <v>75000</v>
      </c>
      <c r="K2133" s="488">
        <f t="shared" si="371"/>
        <v>3285</v>
      </c>
      <c r="L2133" s="469">
        <v>71715</v>
      </c>
      <c r="M2133" s="297">
        <v>75000</v>
      </c>
      <c r="N2133" s="297">
        <v>75000</v>
      </c>
    </row>
    <row r="2134" spans="1:14" s="20" customFormat="1">
      <c r="A2134" s="253"/>
      <c r="B2134" s="231"/>
      <c r="C2134" s="32" t="s">
        <v>47</v>
      </c>
      <c r="D2134" s="239">
        <v>22020405</v>
      </c>
      <c r="E2134" s="240" t="s">
        <v>743</v>
      </c>
      <c r="F2134" s="138">
        <v>80000</v>
      </c>
      <c r="G2134" s="297">
        <v>80000</v>
      </c>
      <c r="H2134" s="297"/>
      <c r="I2134" s="297"/>
      <c r="J2134" s="28">
        <v>80000</v>
      </c>
      <c r="K2134" s="488">
        <f t="shared" si="371"/>
        <v>3504</v>
      </c>
      <c r="L2134" s="469">
        <v>76496</v>
      </c>
      <c r="M2134" s="297">
        <v>80000</v>
      </c>
      <c r="N2134" s="297">
        <v>80000</v>
      </c>
    </row>
    <row r="2135" spans="1:14" s="20" customFormat="1">
      <c r="A2135" s="253"/>
      <c r="B2135" s="231"/>
      <c r="C2135" s="32" t="s">
        <v>47</v>
      </c>
      <c r="D2135" s="239">
        <v>22020406</v>
      </c>
      <c r="E2135" s="240" t="s">
        <v>758</v>
      </c>
      <c r="F2135" s="138">
        <v>300000</v>
      </c>
      <c r="G2135" s="297">
        <v>300000</v>
      </c>
      <c r="H2135" s="297"/>
      <c r="I2135" s="297"/>
      <c r="J2135" s="28">
        <v>300000</v>
      </c>
      <c r="K2135" s="488">
        <f t="shared" si="371"/>
        <v>13140</v>
      </c>
      <c r="L2135" s="469">
        <v>286860</v>
      </c>
      <c r="M2135" s="297">
        <v>300000</v>
      </c>
      <c r="N2135" s="297">
        <v>300000</v>
      </c>
    </row>
    <row r="2136" spans="1:14" s="20" customFormat="1">
      <c r="A2136" s="253"/>
      <c r="B2136" s="231"/>
      <c r="C2136" s="32" t="s">
        <v>47</v>
      </c>
      <c r="D2136" s="239">
        <v>22020709</v>
      </c>
      <c r="E2136" s="240" t="s">
        <v>771</v>
      </c>
      <c r="F2136" s="138">
        <v>1053017</v>
      </c>
      <c r="G2136" s="297">
        <v>1053017</v>
      </c>
      <c r="H2136" s="297"/>
      <c r="I2136" s="297">
        <v>503017</v>
      </c>
      <c r="J2136" s="28">
        <v>550000</v>
      </c>
      <c r="K2136" s="488">
        <f t="shared" si="371"/>
        <v>24090</v>
      </c>
      <c r="L2136" s="469">
        <v>525910</v>
      </c>
      <c r="M2136" s="297">
        <v>1053017</v>
      </c>
      <c r="N2136" s="297">
        <v>1053017</v>
      </c>
    </row>
    <row r="2137" spans="1:14" s="20" customFormat="1">
      <c r="A2137" s="253"/>
      <c r="B2137" s="231"/>
      <c r="C2137" s="32" t="s">
        <v>47</v>
      </c>
      <c r="D2137" s="239">
        <v>22020801</v>
      </c>
      <c r="E2137" s="240" t="s">
        <v>747</v>
      </c>
      <c r="F2137" s="138">
        <v>578550</v>
      </c>
      <c r="G2137" s="297">
        <v>578550</v>
      </c>
      <c r="H2137" s="297"/>
      <c r="I2137" s="297"/>
      <c r="J2137" s="28">
        <v>578550</v>
      </c>
      <c r="K2137" s="488">
        <f t="shared" si="371"/>
        <v>25340.489999999998</v>
      </c>
      <c r="L2137" s="469">
        <v>553209.51</v>
      </c>
      <c r="M2137" s="297">
        <v>578550</v>
      </c>
      <c r="N2137" s="297">
        <v>578550</v>
      </c>
    </row>
    <row r="2138" spans="1:14" s="20" customFormat="1">
      <c r="A2138" s="253"/>
      <c r="B2138" s="231"/>
      <c r="C2138" s="32" t="s">
        <v>47</v>
      </c>
      <c r="D2138" s="239">
        <v>22020803</v>
      </c>
      <c r="E2138" s="240" t="s">
        <v>748</v>
      </c>
      <c r="F2138" s="138">
        <v>350000</v>
      </c>
      <c r="G2138" s="297">
        <v>350000</v>
      </c>
      <c r="H2138" s="297"/>
      <c r="I2138" s="297"/>
      <c r="J2138" s="28">
        <v>350000</v>
      </c>
      <c r="K2138" s="488">
        <f t="shared" si="371"/>
        <v>15330</v>
      </c>
      <c r="L2138" s="469">
        <v>334670</v>
      </c>
      <c r="M2138" s="297">
        <v>350000</v>
      </c>
      <c r="N2138" s="297">
        <v>350000</v>
      </c>
    </row>
    <row r="2139" spans="1:14" s="20" customFormat="1">
      <c r="A2139" s="253"/>
      <c r="B2139" s="231"/>
      <c r="C2139" s="32" t="s">
        <v>47</v>
      </c>
      <c r="D2139" s="239">
        <v>22020901</v>
      </c>
      <c r="E2139" s="240" t="s">
        <v>749</v>
      </c>
      <c r="F2139" s="138">
        <v>100000</v>
      </c>
      <c r="G2139" s="297">
        <v>100000</v>
      </c>
      <c r="H2139" s="297">
        <v>303017</v>
      </c>
      <c r="I2139" s="297"/>
      <c r="J2139" s="28">
        <v>403017</v>
      </c>
      <c r="K2139" s="488">
        <f t="shared" si="371"/>
        <v>17652.1446</v>
      </c>
      <c r="L2139" s="469">
        <v>385364.8554</v>
      </c>
      <c r="M2139" s="297">
        <v>1080000</v>
      </c>
      <c r="N2139" s="297">
        <v>1080000</v>
      </c>
    </row>
    <row r="2140" spans="1:14" s="20" customFormat="1">
      <c r="A2140" s="253"/>
      <c r="B2140" s="231"/>
      <c r="C2140" s="32" t="s">
        <v>47</v>
      </c>
      <c r="D2140" s="239">
        <v>22021001</v>
      </c>
      <c r="E2140" s="240" t="s">
        <v>772</v>
      </c>
      <c r="F2140" s="138">
        <v>78000</v>
      </c>
      <c r="G2140" s="297">
        <v>78000</v>
      </c>
      <c r="H2140" s="297">
        <v>5974000</v>
      </c>
      <c r="I2140" s="297"/>
      <c r="J2140" s="28">
        <v>6052000</v>
      </c>
      <c r="K2140" s="488">
        <f t="shared" si="371"/>
        <v>265077.59999999998</v>
      </c>
      <c r="L2140" s="469">
        <v>5786922.4000000004</v>
      </c>
      <c r="M2140" s="297">
        <v>78000</v>
      </c>
      <c r="N2140" s="297">
        <v>78000</v>
      </c>
    </row>
    <row r="2141" spans="1:14" s="20" customFormat="1">
      <c r="A2141" s="253"/>
      <c r="B2141" s="231"/>
      <c r="C2141" s="32" t="s">
        <v>47</v>
      </c>
      <c r="D2141" s="239">
        <v>22021003</v>
      </c>
      <c r="E2141" s="240" t="s">
        <v>760</v>
      </c>
      <c r="F2141" s="138">
        <v>250000</v>
      </c>
      <c r="G2141" s="297">
        <v>250000</v>
      </c>
      <c r="H2141" s="297"/>
      <c r="I2141" s="297"/>
      <c r="J2141" s="28">
        <v>250000</v>
      </c>
      <c r="K2141" s="488">
        <f t="shared" si="371"/>
        <v>10950</v>
      </c>
      <c r="L2141" s="469">
        <v>239050</v>
      </c>
      <c r="M2141" s="297">
        <v>250000</v>
      </c>
      <c r="N2141" s="297">
        <v>250000</v>
      </c>
    </row>
    <row r="2142" spans="1:14" s="20" customFormat="1">
      <c r="A2142" s="253"/>
      <c r="B2142" s="231"/>
      <c r="C2142" s="32" t="s">
        <v>47</v>
      </c>
      <c r="D2142" s="239">
        <v>22021007</v>
      </c>
      <c r="E2142" s="240" t="s">
        <v>856</v>
      </c>
      <c r="F2142" s="138">
        <v>45000</v>
      </c>
      <c r="G2142" s="297">
        <v>0</v>
      </c>
      <c r="H2142" s="297"/>
      <c r="I2142" s="297"/>
      <c r="J2142" s="28">
        <v>0</v>
      </c>
      <c r="K2142" s="488">
        <f t="shared" si="371"/>
        <v>0</v>
      </c>
      <c r="L2142" s="469">
        <v>0</v>
      </c>
      <c r="M2142" s="297">
        <v>45000</v>
      </c>
      <c r="N2142" s="297">
        <v>45000</v>
      </c>
    </row>
    <row r="2143" spans="1:14" s="20" customFormat="1">
      <c r="A2143" s="253"/>
      <c r="B2143" s="231"/>
      <c r="C2143" s="32" t="s">
        <v>47</v>
      </c>
      <c r="D2143" s="239">
        <v>22021020</v>
      </c>
      <c r="E2143" s="240" t="s">
        <v>1015</v>
      </c>
      <c r="F2143" s="138">
        <v>0</v>
      </c>
      <c r="G2143" s="28">
        <v>256000000</v>
      </c>
      <c r="H2143" s="28"/>
      <c r="I2143" s="28"/>
      <c r="J2143" s="28">
        <v>256000000</v>
      </c>
      <c r="K2143" s="488">
        <f t="shared" si="371"/>
        <v>11212800</v>
      </c>
      <c r="L2143" s="469">
        <v>244787200</v>
      </c>
      <c r="M2143" s="297">
        <f>G2143*10%+G2143</f>
        <v>281600000</v>
      </c>
      <c r="N2143" s="297">
        <f>M2143*10%+M2143</f>
        <v>309760000</v>
      </c>
    </row>
    <row r="2144" spans="1:14" s="20" customFormat="1">
      <c r="A2144" s="253"/>
      <c r="B2144" s="231"/>
      <c r="C2144" s="32" t="s">
        <v>47</v>
      </c>
      <c r="D2144" s="239">
        <v>22021031</v>
      </c>
      <c r="E2144" s="240" t="s">
        <v>933</v>
      </c>
      <c r="F2144" s="138">
        <v>1299400000</v>
      </c>
      <c r="G2144" s="297">
        <v>1299400000</v>
      </c>
      <c r="H2144" s="297"/>
      <c r="I2144" s="297">
        <v>5042000</v>
      </c>
      <c r="J2144" s="28">
        <v>1294358000</v>
      </c>
      <c r="K2144" s="488">
        <f t="shared" si="371"/>
        <v>56692880.399999999</v>
      </c>
      <c r="L2144" s="469">
        <v>1237665119.6000001</v>
      </c>
      <c r="M2144" s="297">
        <v>1299400000</v>
      </c>
      <c r="N2144" s="297">
        <v>1299400000</v>
      </c>
    </row>
    <row r="2145" spans="1:14" s="20" customFormat="1">
      <c r="A2145" s="238"/>
      <c r="B2145" s="231"/>
      <c r="C2145" s="30" t="s">
        <v>1839</v>
      </c>
      <c r="D2145" s="23"/>
      <c r="E2145" s="25"/>
      <c r="F2145" s="137">
        <f>SUM(F2127:F2144)</f>
        <v>1311965567</v>
      </c>
      <c r="G2145" s="114">
        <f>SUM(G2127:G2144)</f>
        <v>1565872567</v>
      </c>
      <c r="H2145" s="114">
        <f t="shared" ref="H2145:I2145" si="372">SUM(H2127:H2144)</f>
        <v>6477017</v>
      </c>
      <c r="I2145" s="114">
        <f t="shared" si="372"/>
        <v>6477017</v>
      </c>
      <c r="J2145" s="114">
        <f>SUM(J2127:J2144)</f>
        <v>1565872567</v>
      </c>
      <c r="K2145" s="490">
        <f t="shared" si="371"/>
        <v>68585218.434599996</v>
      </c>
      <c r="L2145" s="468">
        <f>SUM(L2127:L2144)</f>
        <v>1497287348.5654001</v>
      </c>
      <c r="M2145" s="114">
        <f>SUM(M2127:M2144)</f>
        <v>1588751567</v>
      </c>
      <c r="N2145" s="114">
        <f>SUM(N2127:N2144)</f>
        <v>1616911567</v>
      </c>
    </row>
    <row r="2146" spans="1:14" s="66" customFormat="1" ht="30">
      <c r="A2146" s="238" t="s">
        <v>1056</v>
      </c>
      <c r="B2146" s="231" t="s">
        <v>1826</v>
      </c>
      <c r="C2146" s="30"/>
      <c r="D2146" s="23"/>
      <c r="E2146" s="25"/>
      <c r="F2146" s="137">
        <f>F2145+F2126</f>
        <v>1336950171.2</v>
      </c>
      <c r="G2146" s="114">
        <f>G2145+G2126</f>
        <v>1592277290.5599999</v>
      </c>
      <c r="H2146" s="114">
        <f t="shared" ref="H2146:I2146" si="373">H2145+H2126</f>
        <v>6477017</v>
      </c>
      <c r="I2146" s="114">
        <f t="shared" si="373"/>
        <v>6477017</v>
      </c>
      <c r="J2146" s="114">
        <f>J2145+J2126</f>
        <v>1592277290.5599999</v>
      </c>
      <c r="K2146" s="490"/>
      <c r="L2146" s="468">
        <f>L2145+L2126</f>
        <v>1523692072.1254001</v>
      </c>
      <c r="M2146" s="114">
        <f>M2145+M2126</f>
        <v>1615975621.4000001</v>
      </c>
      <c r="N2146" s="114">
        <f>N2145+N2126</f>
        <v>1644135887.8</v>
      </c>
    </row>
    <row r="2147" spans="1:14" s="20" customFormat="1" ht="21">
      <c r="A2147" s="252"/>
      <c r="B2147" s="443"/>
      <c r="C2147" s="228"/>
      <c r="D2147" s="229"/>
      <c r="E2147" s="230"/>
      <c r="F2147" s="215"/>
      <c r="G2147" s="296"/>
      <c r="H2147" s="296"/>
      <c r="I2147" s="296"/>
      <c r="J2147" s="28"/>
      <c r="K2147" s="488"/>
      <c r="L2147" s="468"/>
      <c r="M2147" s="296"/>
      <c r="N2147" s="296"/>
    </row>
    <row r="2148" spans="1:14" s="20" customFormat="1">
      <c r="A2148" s="238" t="s">
        <v>1059</v>
      </c>
      <c r="B2148" s="231" t="s">
        <v>126</v>
      </c>
      <c r="C2148" s="32" t="s">
        <v>46</v>
      </c>
      <c r="D2148" s="241">
        <v>21010101</v>
      </c>
      <c r="E2148" s="242" t="s">
        <v>725</v>
      </c>
      <c r="F2148" s="136">
        <v>54951202.68</v>
      </c>
      <c r="G2148" s="28">
        <v>54951202.68</v>
      </c>
      <c r="H2148" s="28"/>
      <c r="I2148" s="28"/>
      <c r="J2148" s="28">
        <v>54951202.68</v>
      </c>
      <c r="K2148" s="488"/>
      <c r="L2148" s="467">
        <v>54951202.68</v>
      </c>
      <c r="M2148" s="28">
        <f>G2148*10%+G2148</f>
        <v>60446322.947999999</v>
      </c>
      <c r="N2148" s="28">
        <f>M2148*10%+M2148</f>
        <v>66490955.242799997</v>
      </c>
    </row>
    <row r="2149" spans="1:14" s="20" customFormat="1">
      <c r="A2149" s="238"/>
      <c r="B2149" s="231"/>
      <c r="C2149" s="30" t="s">
        <v>1842</v>
      </c>
      <c r="D2149" s="23"/>
      <c r="E2149" s="25"/>
      <c r="F2149" s="137">
        <f>SUM(F2148)</f>
        <v>54951202.68</v>
      </c>
      <c r="G2149" s="114">
        <f>SUM(G2148)</f>
        <v>54951202.68</v>
      </c>
      <c r="H2149" s="114">
        <f t="shared" ref="H2149:I2149" si="374">SUM(H2148)</f>
        <v>0</v>
      </c>
      <c r="I2149" s="114">
        <f t="shared" si="374"/>
        <v>0</v>
      </c>
      <c r="J2149" s="114">
        <f>SUM(J2148)</f>
        <v>54951202.68</v>
      </c>
      <c r="K2149" s="490"/>
      <c r="L2149" s="468">
        <f>SUM(L2148)</f>
        <v>54951202.68</v>
      </c>
      <c r="M2149" s="114">
        <f>SUM(M2148)</f>
        <v>60446322.947999999</v>
      </c>
      <c r="N2149" s="114">
        <f>SUM(N2148)</f>
        <v>66490955.242799997</v>
      </c>
    </row>
    <row r="2150" spans="1:14" s="20" customFormat="1">
      <c r="A2150" s="253"/>
      <c r="B2150" s="231"/>
      <c r="C2150" s="32" t="s">
        <v>47</v>
      </c>
      <c r="D2150" s="239">
        <v>22020105</v>
      </c>
      <c r="E2150" s="135" t="s">
        <v>1733</v>
      </c>
      <c r="F2150" s="136">
        <v>5932000</v>
      </c>
      <c r="G2150" s="28">
        <v>2500000</v>
      </c>
      <c r="H2150" s="28"/>
      <c r="I2150" s="28"/>
      <c r="J2150" s="28">
        <v>2500000</v>
      </c>
      <c r="K2150" s="488">
        <f>J2150*4.38%</f>
        <v>109500</v>
      </c>
      <c r="L2150" s="469">
        <v>2390500</v>
      </c>
      <c r="M2150" s="28">
        <v>5932000</v>
      </c>
      <c r="N2150" s="28">
        <v>5932000</v>
      </c>
    </row>
    <row r="2151" spans="1:14" s="20" customFormat="1">
      <c r="A2151" s="253"/>
      <c r="B2151" s="231"/>
      <c r="C2151" s="32" t="s">
        <v>47</v>
      </c>
      <c r="D2151" s="239">
        <v>22020201</v>
      </c>
      <c r="E2151" s="135" t="s">
        <v>849</v>
      </c>
      <c r="F2151" s="136">
        <v>1202000</v>
      </c>
      <c r="G2151" s="28">
        <v>1202000</v>
      </c>
      <c r="H2151" s="28"/>
      <c r="I2151" s="28"/>
      <c r="J2151" s="28">
        <v>1202000</v>
      </c>
      <c r="K2151" s="488">
        <f t="shared" ref="K2151:K2163" si="375">J2151*4.38%</f>
        <v>52647.6</v>
      </c>
      <c r="L2151" s="469">
        <v>1149352.4000000001</v>
      </c>
      <c r="M2151" s="28">
        <v>1202000</v>
      </c>
      <c r="N2151" s="28">
        <v>1202000</v>
      </c>
    </row>
    <row r="2152" spans="1:14" s="20" customFormat="1">
      <c r="A2152" s="253"/>
      <c r="B2152" s="231"/>
      <c r="C2152" s="32" t="s">
        <v>47</v>
      </c>
      <c r="D2152" s="239">
        <v>22020301</v>
      </c>
      <c r="E2152" s="135" t="s">
        <v>737</v>
      </c>
      <c r="F2152" s="136">
        <v>307800</v>
      </c>
      <c r="G2152" s="28">
        <v>307800</v>
      </c>
      <c r="H2152" s="28"/>
      <c r="I2152" s="28"/>
      <c r="J2152" s="28">
        <v>307800</v>
      </c>
      <c r="K2152" s="488">
        <f t="shared" si="375"/>
        <v>13481.64</v>
      </c>
      <c r="L2152" s="469">
        <v>294318.36000000004</v>
      </c>
      <c r="M2152" s="28">
        <v>307800</v>
      </c>
      <c r="N2152" s="28">
        <v>307800</v>
      </c>
    </row>
    <row r="2153" spans="1:14" s="20" customFormat="1">
      <c r="A2153" s="253"/>
      <c r="B2153" s="231"/>
      <c r="C2153" s="32" t="s">
        <v>47</v>
      </c>
      <c r="D2153" s="239">
        <v>22020305</v>
      </c>
      <c r="E2153" s="135" t="s">
        <v>755</v>
      </c>
      <c r="F2153" s="136">
        <v>900000</v>
      </c>
      <c r="G2153" s="28">
        <v>900000</v>
      </c>
      <c r="H2153" s="28"/>
      <c r="I2153" s="28"/>
      <c r="J2153" s="28">
        <v>900000</v>
      </c>
      <c r="K2153" s="488">
        <f t="shared" si="375"/>
        <v>39420</v>
      </c>
      <c r="L2153" s="469">
        <v>860580</v>
      </c>
      <c r="M2153" s="28">
        <v>900000</v>
      </c>
      <c r="N2153" s="28">
        <v>900000</v>
      </c>
    </row>
    <row r="2154" spans="1:14" s="20" customFormat="1">
      <c r="A2154" s="253"/>
      <c r="B2154" s="231"/>
      <c r="C2154" s="32" t="s">
        <v>47</v>
      </c>
      <c r="D2154" s="239">
        <v>22020315</v>
      </c>
      <c r="E2154" s="135" t="s">
        <v>740</v>
      </c>
      <c r="F2154" s="136">
        <v>594000</v>
      </c>
      <c r="G2154" s="28">
        <v>594000</v>
      </c>
      <c r="H2154" s="28"/>
      <c r="I2154" s="28"/>
      <c r="J2154" s="28">
        <v>594000</v>
      </c>
      <c r="K2154" s="488">
        <f t="shared" si="375"/>
        <v>26017.200000000001</v>
      </c>
      <c r="L2154" s="469">
        <v>567982.80000000005</v>
      </c>
      <c r="M2154" s="28">
        <v>594000</v>
      </c>
      <c r="N2154" s="28">
        <v>594000</v>
      </c>
    </row>
    <row r="2155" spans="1:14" s="20" customFormat="1">
      <c r="A2155" s="253"/>
      <c r="B2155" s="231"/>
      <c r="C2155" s="32" t="s">
        <v>47</v>
      </c>
      <c r="D2155" s="239">
        <v>22020401</v>
      </c>
      <c r="E2155" s="135" t="s">
        <v>741</v>
      </c>
      <c r="F2155" s="136">
        <v>462000</v>
      </c>
      <c r="G2155" s="28">
        <v>462000</v>
      </c>
      <c r="H2155" s="28"/>
      <c r="I2155" s="28"/>
      <c r="J2155" s="28">
        <v>462000</v>
      </c>
      <c r="K2155" s="488">
        <f t="shared" si="375"/>
        <v>20235.599999999999</v>
      </c>
      <c r="L2155" s="469">
        <v>441764.4</v>
      </c>
      <c r="M2155" s="28">
        <v>462000</v>
      </c>
      <c r="N2155" s="28">
        <v>462000</v>
      </c>
    </row>
    <row r="2156" spans="1:14" s="20" customFormat="1">
      <c r="A2156" s="253"/>
      <c r="B2156" s="231"/>
      <c r="C2156" s="32" t="s">
        <v>47</v>
      </c>
      <c r="D2156" s="239">
        <v>22020402</v>
      </c>
      <c r="E2156" s="135" t="s">
        <v>757</v>
      </c>
      <c r="F2156" s="136">
        <v>1117000</v>
      </c>
      <c r="G2156" s="28">
        <v>1117000</v>
      </c>
      <c r="H2156" s="28"/>
      <c r="I2156" s="28"/>
      <c r="J2156" s="28">
        <v>1117000</v>
      </c>
      <c r="K2156" s="488">
        <f t="shared" si="375"/>
        <v>48924.6</v>
      </c>
      <c r="L2156" s="469">
        <v>1068075.4000000001</v>
      </c>
      <c r="M2156" s="28">
        <v>0</v>
      </c>
      <c r="N2156" s="28">
        <v>0</v>
      </c>
    </row>
    <row r="2157" spans="1:14" s="20" customFormat="1">
      <c r="A2157" s="253"/>
      <c r="B2157" s="231"/>
      <c r="C2157" s="32" t="s">
        <v>47</v>
      </c>
      <c r="D2157" s="239">
        <v>22020405</v>
      </c>
      <c r="E2157" s="135" t="s">
        <v>743</v>
      </c>
      <c r="F2157" s="136">
        <v>63000</v>
      </c>
      <c r="G2157" s="28">
        <v>63000</v>
      </c>
      <c r="H2157" s="28"/>
      <c r="I2157" s="28"/>
      <c r="J2157" s="28">
        <v>63000</v>
      </c>
      <c r="K2157" s="488">
        <f t="shared" si="375"/>
        <v>2759.4</v>
      </c>
      <c r="L2157" s="469">
        <v>60240.600000000006</v>
      </c>
      <c r="M2157" s="28">
        <v>63000</v>
      </c>
      <c r="N2157" s="28">
        <v>63000</v>
      </c>
    </row>
    <row r="2158" spans="1:14" s="20" customFormat="1">
      <c r="A2158" s="253"/>
      <c r="B2158" s="231"/>
      <c r="C2158" s="32" t="s">
        <v>47</v>
      </c>
      <c r="D2158" s="239">
        <v>22020709</v>
      </c>
      <c r="E2158" s="135" t="s">
        <v>771</v>
      </c>
      <c r="F2158" s="136">
        <v>331200</v>
      </c>
      <c r="G2158" s="28">
        <v>331200</v>
      </c>
      <c r="H2158" s="28"/>
      <c r="I2158" s="28"/>
      <c r="J2158" s="28">
        <v>331200</v>
      </c>
      <c r="K2158" s="488">
        <f t="shared" si="375"/>
        <v>14506.56</v>
      </c>
      <c r="L2158" s="469">
        <v>316693.44</v>
      </c>
      <c r="M2158" s="28">
        <v>331200</v>
      </c>
      <c r="N2158" s="28">
        <v>331200</v>
      </c>
    </row>
    <row r="2159" spans="1:14" s="20" customFormat="1">
      <c r="A2159" s="253"/>
      <c r="B2159" s="231"/>
      <c r="C2159" s="32" t="s">
        <v>47</v>
      </c>
      <c r="D2159" s="239">
        <v>22020801</v>
      </c>
      <c r="E2159" s="135" t="s">
        <v>747</v>
      </c>
      <c r="F2159" s="136">
        <v>725000</v>
      </c>
      <c r="G2159" s="28">
        <v>725000</v>
      </c>
      <c r="H2159" s="28"/>
      <c r="I2159" s="28"/>
      <c r="J2159" s="28">
        <v>725000</v>
      </c>
      <c r="K2159" s="488">
        <f t="shared" si="375"/>
        <v>31755</v>
      </c>
      <c r="L2159" s="469">
        <v>693245</v>
      </c>
      <c r="M2159" s="28">
        <v>725000</v>
      </c>
      <c r="N2159" s="28">
        <v>725000</v>
      </c>
    </row>
    <row r="2160" spans="1:14" s="20" customFormat="1">
      <c r="A2160" s="253"/>
      <c r="B2160" s="231"/>
      <c r="C2160" s="32" t="s">
        <v>47</v>
      </c>
      <c r="D2160" s="239">
        <v>22020803</v>
      </c>
      <c r="E2160" s="135" t="s">
        <v>748</v>
      </c>
      <c r="F2160" s="136">
        <v>504000</v>
      </c>
      <c r="G2160" s="28">
        <v>504000</v>
      </c>
      <c r="H2160" s="28"/>
      <c r="I2160" s="28"/>
      <c r="J2160" s="28">
        <v>504000</v>
      </c>
      <c r="K2160" s="488">
        <f t="shared" si="375"/>
        <v>22075.200000000001</v>
      </c>
      <c r="L2160" s="469">
        <v>481924.80000000005</v>
      </c>
      <c r="M2160" s="28">
        <v>504000</v>
      </c>
      <c r="N2160" s="28">
        <v>504000</v>
      </c>
    </row>
    <row r="2161" spans="1:14" s="20" customFormat="1">
      <c r="A2161" s="253"/>
      <c r="B2161" s="231"/>
      <c r="C2161" s="32" t="s">
        <v>47</v>
      </c>
      <c r="D2161" s="239">
        <v>22021001</v>
      </c>
      <c r="E2161" s="135" t="s">
        <v>772</v>
      </c>
      <c r="F2161" s="136">
        <v>2598000</v>
      </c>
      <c r="G2161" s="28">
        <v>598000</v>
      </c>
      <c r="H2161" s="28"/>
      <c r="I2161" s="28"/>
      <c r="J2161" s="28">
        <v>598000</v>
      </c>
      <c r="K2161" s="488">
        <f t="shared" si="375"/>
        <v>26192.399999999998</v>
      </c>
      <c r="L2161" s="469">
        <v>571807.6</v>
      </c>
      <c r="M2161" s="28">
        <v>2598000</v>
      </c>
      <c r="N2161" s="28">
        <v>2598000</v>
      </c>
    </row>
    <row r="2162" spans="1:14" s="20" customFormat="1">
      <c r="A2162" s="253"/>
      <c r="B2162" s="231"/>
      <c r="C2162" s="32" t="s">
        <v>47</v>
      </c>
      <c r="D2162" s="239">
        <v>22021003</v>
      </c>
      <c r="E2162" s="135" t="s">
        <v>760</v>
      </c>
      <c r="F2162" s="136">
        <v>120000</v>
      </c>
      <c r="G2162" s="28">
        <v>120000</v>
      </c>
      <c r="H2162" s="28"/>
      <c r="I2162" s="28"/>
      <c r="J2162" s="28">
        <v>120000</v>
      </c>
      <c r="K2162" s="488">
        <f t="shared" si="375"/>
        <v>5256</v>
      </c>
      <c r="L2162" s="469">
        <v>114744</v>
      </c>
      <c r="M2162" s="28">
        <v>120000</v>
      </c>
      <c r="N2162" s="28">
        <v>120000</v>
      </c>
    </row>
    <row r="2163" spans="1:14" s="20" customFormat="1">
      <c r="A2163" s="238"/>
      <c r="B2163" s="231"/>
      <c r="C2163" s="30" t="s">
        <v>1837</v>
      </c>
      <c r="D2163" s="23"/>
      <c r="E2163" s="25"/>
      <c r="F2163" s="137">
        <f>SUM(F2150:F2162)</f>
        <v>14856000</v>
      </c>
      <c r="G2163" s="114">
        <f>SUM(G2150:G2162)</f>
        <v>9424000</v>
      </c>
      <c r="H2163" s="114">
        <f t="shared" ref="H2163:I2163" si="376">SUM(H2150:H2162)</f>
        <v>0</v>
      </c>
      <c r="I2163" s="114">
        <f t="shared" si="376"/>
        <v>0</v>
      </c>
      <c r="J2163" s="114">
        <f>SUM(J2150:J2162)</f>
        <v>9424000</v>
      </c>
      <c r="K2163" s="490">
        <f t="shared" si="375"/>
        <v>412771.2</v>
      </c>
      <c r="L2163" s="468">
        <f>SUM(L2150:L2162)</f>
        <v>9011228.8000000007</v>
      </c>
      <c r="M2163" s="114">
        <f>SUM(M2150:M2162)</f>
        <v>13739000</v>
      </c>
      <c r="N2163" s="114">
        <f>SUM(N2150:N2162)</f>
        <v>13739000</v>
      </c>
    </row>
    <row r="2164" spans="1:14" s="66" customFormat="1">
      <c r="A2164" s="238" t="s">
        <v>1059</v>
      </c>
      <c r="B2164" s="231" t="s">
        <v>1827</v>
      </c>
      <c r="C2164" s="30"/>
      <c r="D2164" s="23"/>
      <c r="E2164" s="25"/>
      <c r="F2164" s="137">
        <f>F2163+F2149</f>
        <v>69807202.680000007</v>
      </c>
      <c r="G2164" s="114">
        <f>G2163+G2149</f>
        <v>64375202.68</v>
      </c>
      <c r="H2164" s="114">
        <f t="shared" ref="H2164:I2164" si="377">H2163+H2149</f>
        <v>0</v>
      </c>
      <c r="I2164" s="114">
        <f t="shared" si="377"/>
        <v>0</v>
      </c>
      <c r="J2164" s="114">
        <f>J2163+J2149</f>
        <v>64375202.68</v>
      </c>
      <c r="K2164" s="490"/>
      <c r="L2164" s="468">
        <f>L2163+L2149</f>
        <v>63962431.480000004</v>
      </c>
      <c r="M2164" s="114">
        <f>M2163+M2149</f>
        <v>74185322.947999999</v>
      </c>
      <c r="N2164" s="114">
        <f>N2163+N2149</f>
        <v>80229955.242799997</v>
      </c>
    </row>
    <row r="2165" spans="1:14" s="20" customFormat="1" ht="21">
      <c r="A2165" s="252"/>
      <c r="B2165" s="443"/>
      <c r="C2165" s="228"/>
      <c r="D2165" s="229"/>
      <c r="E2165" s="230"/>
      <c r="F2165" s="215"/>
      <c r="G2165" s="296"/>
      <c r="H2165" s="296"/>
      <c r="I2165" s="296"/>
      <c r="J2165" s="28"/>
      <c r="K2165" s="488"/>
      <c r="L2165" s="468"/>
      <c r="M2165" s="296"/>
      <c r="N2165" s="296"/>
    </row>
    <row r="2166" spans="1:14" s="20" customFormat="1">
      <c r="A2166" s="238" t="s">
        <v>1061</v>
      </c>
      <c r="B2166" s="231" t="s">
        <v>1710</v>
      </c>
      <c r="C2166" s="32" t="s">
        <v>47</v>
      </c>
      <c r="D2166" s="239">
        <v>22020105</v>
      </c>
      <c r="E2166" s="135" t="s">
        <v>1733</v>
      </c>
      <c r="F2166" s="136">
        <v>5040000</v>
      </c>
      <c r="G2166" s="28">
        <v>5040000</v>
      </c>
      <c r="H2166" s="28">
        <v>21852450</v>
      </c>
      <c r="I2166" s="28"/>
      <c r="J2166" s="28">
        <v>26892450</v>
      </c>
      <c r="K2166" s="488">
        <f>J2166*4.38%</f>
        <v>1177889.31</v>
      </c>
      <c r="L2166" s="469">
        <v>25714560.690000001</v>
      </c>
      <c r="M2166" s="28">
        <v>5040000</v>
      </c>
      <c r="N2166" s="28">
        <v>5040000</v>
      </c>
    </row>
    <row r="2167" spans="1:14" s="20" customFormat="1">
      <c r="A2167" s="253"/>
      <c r="B2167" s="231"/>
      <c r="C2167" s="32" t="s">
        <v>47</v>
      </c>
      <c r="D2167" s="239">
        <v>22020108</v>
      </c>
      <c r="E2167" s="135" t="s">
        <v>812</v>
      </c>
      <c r="F2167" s="136">
        <v>10904000</v>
      </c>
      <c r="G2167" s="28">
        <v>2000000</v>
      </c>
      <c r="H2167" s="28"/>
      <c r="I2167" s="28"/>
      <c r="J2167" s="28">
        <v>2000000</v>
      </c>
      <c r="K2167" s="488">
        <f t="shared" ref="K2167:K2183" si="378">J2167*4.38%</f>
        <v>87600</v>
      </c>
      <c r="L2167" s="469">
        <v>1912400</v>
      </c>
      <c r="M2167" s="28">
        <v>10904000</v>
      </c>
      <c r="N2167" s="28">
        <v>10904000</v>
      </c>
    </row>
    <row r="2168" spans="1:14" s="20" customFormat="1">
      <c r="A2168" s="253"/>
      <c r="B2168" s="231"/>
      <c r="C2168" s="32" t="s">
        <v>47</v>
      </c>
      <c r="D2168" s="239">
        <v>22020201</v>
      </c>
      <c r="E2168" s="135" t="s">
        <v>849</v>
      </c>
      <c r="F2168" s="136">
        <v>360000</v>
      </c>
      <c r="G2168" s="28">
        <v>360000</v>
      </c>
      <c r="H2168" s="28"/>
      <c r="I2168" s="28"/>
      <c r="J2168" s="28">
        <v>360000</v>
      </c>
      <c r="K2168" s="488">
        <f t="shared" si="378"/>
        <v>15768</v>
      </c>
      <c r="L2168" s="469">
        <v>344232</v>
      </c>
      <c r="M2168" s="28">
        <v>360000</v>
      </c>
      <c r="N2168" s="28">
        <v>360000</v>
      </c>
    </row>
    <row r="2169" spans="1:14" s="20" customFormat="1">
      <c r="A2169" s="253"/>
      <c r="B2169" s="231"/>
      <c r="C2169" s="32" t="s">
        <v>47</v>
      </c>
      <c r="D2169" s="239">
        <v>22020301</v>
      </c>
      <c r="E2169" s="135" t="s">
        <v>737</v>
      </c>
      <c r="F2169" s="136">
        <v>4824900</v>
      </c>
      <c r="G2169" s="28">
        <v>2000000</v>
      </c>
      <c r="H2169" s="28"/>
      <c r="I2169" s="28"/>
      <c r="J2169" s="28">
        <v>2000000</v>
      </c>
      <c r="K2169" s="488">
        <f t="shared" si="378"/>
        <v>87600</v>
      </c>
      <c r="L2169" s="469">
        <v>1912400</v>
      </c>
      <c r="M2169" s="28">
        <v>4824900</v>
      </c>
      <c r="N2169" s="28">
        <v>4824900</v>
      </c>
    </row>
    <row r="2170" spans="1:14" s="20" customFormat="1">
      <c r="A2170" s="253"/>
      <c r="B2170" s="231"/>
      <c r="C2170" s="32" t="s">
        <v>47</v>
      </c>
      <c r="D2170" s="239">
        <v>22020305</v>
      </c>
      <c r="E2170" s="135" t="s">
        <v>755</v>
      </c>
      <c r="F2170" s="136">
        <v>913550</v>
      </c>
      <c r="G2170" s="28">
        <v>913550</v>
      </c>
      <c r="H2170" s="28">
        <v>3246660</v>
      </c>
      <c r="I2170" s="28"/>
      <c r="J2170" s="28">
        <v>4160210</v>
      </c>
      <c r="K2170" s="488">
        <f t="shared" si="378"/>
        <v>182217.198</v>
      </c>
      <c r="L2170" s="469">
        <v>3977992.8020000001</v>
      </c>
      <c r="M2170" s="28">
        <v>913550</v>
      </c>
      <c r="N2170" s="28">
        <v>913550</v>
      </c>
    </row>
    <row r="2171" spans="1:14" s="20" customFormat="1">
      <c r="A2171" s="253"/>
      <c r="B2171" s="231"/>
      <c r="C2171" s="32" t="s">
        <v>47</v>
      </c>
      <c r="D2171" s="239">
        <v>22020306</v>
      </c>
      <c r="E2171" s="135" t="s">
        <v>765</v>
      </c>
      <c r="F2171" s="136">
        <v>16500</v>
      </c>
      <c r="G2171" s="28">
        <v>16500</v>
      </c>
      <c r="H2171" s="28"/>
      <c r="I2171" s="28"/>
      <c r="J2171" s="28">
        <v>16500</v>
      </c>
      <c r="K2171" s="488">
        <f t="shared" si="378"/>
        <v>722.69999999999993</v>
      </c>
      <c r="L2171" s="469">
        <v>15777.300000000001</v>
      </c>
      <c r="M2171" s="28">
        <v>16500</v>
      </c>
      <c r="N2171" s="28">
        <v>16500</v>
      </c>
    </row>
    <row r="2172" spans="1:14" s="20" customFormat="1">
      <c r="A2172" s="253"/>
      <c r="B2172" s="231"/>
      <c r="C2172" s="32" t="s">
        <v>47</v>
      </c>
      <c r="D2172" s="239">
        <v>22020315</v>
      </c>
      <c r="E2172" s="135" t="s">
        <v>740</v>
      </c>
      <c r="F2172" s="136">
        <v>120000</v>
      </c>
      <c r="G2172" s="28">
        <v>120000</v>
      </c>
      <c r="H2172" s="28"/>
      <c r="I2172" s="28"/>
      <c r="J2172" s="28">
        <v>120000</v>
      </c>
      <c r="K2172" s="488">
        <f t="shared" si="378"/>
        <v>5256</v>
      </c>
      <c r="L2172" s="469">
        <v>114744</v>
      </c>
      <c r="M2172" s="28">
        <v>120000</v>
      </c>
      <c r="N2172" s="28">
        <v>120000</v>
      </c>
    </row>
    <row r="2173" spans="1:14" s="20" customFormat="1">
      <c r="A2173" s="253"/>
      <c r="B2173" s="231"/>
      <c r="C2173" s="32" t="s">
        <v>47</v>
      </c>
      <c r="D2173" s="239">
        <v>22020401</v>
      </c>
      <c r="E2173" s="135" t="s">
        <v>741</v>
      </c>
      <c r="F2173" s="136">
        <v>43500</v>
      </c>
      <c r="G2173" s="28">
        <v>43500</v>
      </c>
      <c r="H2173" s="28"/>
      <c r="I2173" s="28"/>
      <c r="J2173" s="28">
        <v>43500</v>
      </c>
      <c r="K2173" s="488">
        <f t="shared" si="378"/>
        <v>1905.3</v>
      </c>
      <c r="L2173" s="469">
        <v>41594.700000000004</v>
      </c>
      <c r="M2173" s="28">
        <v>43500</v>
      </c>
      <c r="N2173" s="28">
        <v>43500</v>
      </c>
    </row>
    <row r="2174" spans="1:14" s="20" customFormat="1">
      <c r="A2174" s="253"/>
      <c r="B2174" s="231"/>
      <c r="C2174" s="32" t="s">
        <v>47</v>
      </c>
      <c r="D2174" s="239">
        <v>22020404</v>
      </c>
      <c r="E2174" s="135" t="s">
        <v>742</v>
      </c>
      <c r="F2174" s="136">
        <v>100000</v>
      </c>
      <c r="G2174" s="28">
        <v>100000</v>
      </c>
      <c r="H2174" s="28"/>
      <c r="I2174" s="28"/>
      <c r="J2174" s="28">
        <v>100000</v>
      </c>
      <c r="K2174" s="488">
        <f t="shared" si="378"/>
        <v>4380</v>
      </c>
      <c r="L2174" s="469">
        <v>95620</v>
      </c>
      <c r="M2174" s="28">
        <v>100000</v>
      </c>
      <c r="N2174" s="28">
        <v>100000</v>
      </c>
    </row>
    <row r="2175" spans="1:14" s="20" customFormat="1">
      <c r="A2175" s="253"/>
      <c r="B2175" s="231"/>
      <c r="C2175" s="32" t="s">
        <v>47</v>
      </c>
      <c r="D2175" s="239">
        <v>22020405</v>
      </c>
      <c r="E2175" s="135" t="s">
        <v>743</v>
      </c>
      <c r="F2175" s="136">
        <v>120000</v>
      </c>
      <c r="G2175" s="28">
        <v>120000</v>
      </c>
      <c r="H2175" s="28"/>
      <c r="I2175" s="28"/>
      <c r="J2175" s="28">
        <v>120000</v>
      </c>
      <c r="K2175" s="488">
        <f t="shared" si="378"/>
        <v>5256</v>
      </c>
      <c r="L2175" s="469">
        <v>114744</v>
      </c>
      <c r="M2175" s="28">
        <v>120000</v>
      </c>
      <c r="N2175" s="28">
        <v>120000</v>
      </c>
    </row>
    <row r="2176" spans="1:14" s="20" customFormat="1">
      <c r="A2176" s="253"/>
      <c r="B2176" s="231"/>
      <c r="C2176" s="32" t="s">
        <v>47</v>
      </c>
      <c r="D2176" s="239">
        <v>22020709</v>
      </c>
      <c r="E2176" s="135" t="s">
        <v>771</v>
      </c>
      <c r="F2176" s="136">
        <v>350000</v>
      </c>
      <c r="G2176" s="28">
        <v>350000</v>
      </c>
      <c r="H2176" s="28"/>
      <c r="I2176" s="28"/>
      <c r="J2176" s="28">
        <v>350000</v>
      </c>
      <c r="K2176" s="488">
        <f t="shared" si="378"/>
        <v>15330</v>
      </c>
      <c r="L2176" s="469">
        <v>334670</v>
      </c>
      <c r="M2176" s="28">
        <v>350000</v>
      </c>
      <c r="N2176" s="28">
        <v>350000</v>
      </c>
    </row>
    <row r="2177" spans="1:14" s="20" customFormat="1">
      <c r="A2177" s="253"/>
      <c r="B2177" s="231"/>
      <c r="C2177" s="32" t="s">
        <v>47</v>
      </c>
      <c r="D2177" s="239">
        <v>22020801</v>
      </c>
      <c r="E2177" s="135" t="s">
        <v>747</v>
      </c>
      <c r="F2177" s="136">
        <v>1901250</v>
      </c>
      <c r="G2177" s="28">
        <v>1901250</v>
      </c>
      <c r="H2177" s="28"/>
      <c r="I2177" s="28"/>
      <c r="J2177" s="28">
        <v>1901250</v>
      </c>
      <c r="K2177" s="488">
        <f t="shared" si="378"/>
        <v>83274.75</v>
      </c>
      <c r="L2177" s="469">
        <v>1817975.25</v>
      </c>
      <c r="M2177" s="28">
        <v>1901250</v>
      </c>
      <c r="N2177" s="28">
        <v>1901250</v>
      </c>
    </row>
    <row r="2178" spans="1:14" s="20" customFormat="1">
      <c r="A2178" s="253"/>
      <c r="B2178" s="231"/>
      <c r="C2178" s="32" t="s">
        <v>47</v>
      </c>
      <c r="D2178" s="239">
        <v>22020803</v>
      </c>
      <c r="E2178" s="135" t="s">
        <v>748</v>
      </c>
      <c r="F2178" s="136">
        <v>675000</v>
      </c>
      <c r="G2178" s="28">
        <v>675000</v>
      </c>
      <c r="H2178" s="28"/>
      <c r="I2178" s="28"/>
      <c r="J2178" s="28">
        <v>675000</v>
      </c>
      <c r="K2178" s="488">
        <f t="shared" si="378"/>
        <v>29565</v>
      </c>
      <c r="L2178" s="469">
        <v>645435</v>
      </c>
      <c r="M2178" s="28">
        <v>675000</v>
      </c>
      <c r="N2178" s="28">
        <v>675000</v>
      </c>
    </row>
    <row r="2179" spans="1:14" s="20" customFormat="1">
      <c r="A2179" s="253"/>
      <c r="B2179" s="231"/>
      <c r="C2179" s="32" t="s">
        <v>47</v>
      </c>
      <c r="D2179" s="239">
        <v>22020901</v>
      </c>
      <c r="E2179" s="135" t="s">
        <v>749</v>
      </c>
      <c r="F2179" s="136">
        <v>24000</v>
      </c>
      <c r="G2179" s="28">
        <v>5000</v>
      </c>
      <c r="H2179" s="28"/>
      <c r="I2179" s="28"/>
      <c r="J2179" s="28">
        <v>5000</v>
      </c>
      <c r="K2179" s="488">
        <f t="shared" si="378"/>
        <v>219</v>
      </c>
      <c r="L2179" s="469">
        <v>4781</v>
      </c>
      <c r="M2179" s="28">
        <v>24000</v>
      </c>
      <c r="N2179" s="28">
        <v>24000</v>
      </c>
    </row>
    <row r="2180" spans="1:14" s="20" customFormat="1">
      <c r="A2180" s="253"/>
      <c r="B2180" s="231"/>
      <c r="C2180" s="32" t="s">
        <v>47</v>
      </c>
      <c r="D2180" s="239">
        <v>22021001</v>
      </c>
      <c r="E2180" s="135" t="s">
        <v>772</v>
      </c>
      <c r="F2180" s="136">
        <v>5635000</v>
      </c>
      <c r="G2180" s="28">
        <v>1000000</v>
      </c>
      <c r="H2180" s="28"/>
      <c r="I2180" s="28"/>
      <c r="J2180" s="28">
        <v>1000000</v>
      </c>
      <c r="K2180" s="488">
        <f t="shared" si="378"/>
        <v>43800</v>
      </c>
      <c r="L2180" s="469">
        <v>956200</v>
      </c>
      <c r="M2180" s="28">
        <v>5635000</v>
      </c>
      <c r="N2180" s="28">
        <v>5635000</v>
      </c>
    </row>
    <row r="2181" spans="1:14" s="20" customFormat="1">
      <c r="A2181" s="253"/>
      <c r="B2181" s="231"/>
      <c r="C2181" s="32" t="s">
        <v>47</v>
      </c>
      <c r="D2181" s="239">
        <v>22021003</v>
      </c>
      <c r="E2181" s="135" t="s">
        <v>760</v>
      </c>
      <c r="F2181" s="136">
        <v>30000</v>
      </c>
      <c r="G2181" s="28">
        <v>30000</v>
      </c>
      <c r="H2181" s="28"/>
      <c r="I2181" s="28"/>
      <c r="J2181" s="28">
        <v>30000</v>
      </c>
      <c r="K2181" s="488">
        <f t="shared" si="378"/>
        <v>1314</v>
      </c>
      <c r="L2181" s="469">
        <v>28686</v>
      </c>
      <c r="M2181" s="28">
        <v>30000</v>
      </c>
      <c r="N2181" s="28">
        <v>30000</v>
      </c>
    </row>
    <row r="2182" spans="1:14" s="78" customFormat="1">
      <c r="A2182" s="253"/>
      <c r="B2182" s="231"/>
      <c r="C2182" s="32" t="s">
        <v>1789</v>
      </c>
      <c r="D2182" s="77">
        <v>22021023</v>
      </c>
      <c r="E2182" s="135" t="s">
        <v>761</v>
      </c>
      <c r="F2182" s="138">
        <v>239100</v>
      </c>
      <c r="G2182" s="297">
        <v>239100</v>
      </c>
      <c r="H2182" s="297"/>
      <c r="I2182" s="297"/>
      <c r="J2182" s="28">
        <v>239100</v>
      </c>
      <c r="K2182" s="488">
        <f t="shared" si="378"/>
        <v>10472.58</v>
      </c>
      <c r="L2182" s="469">
        <v>228627.42</v>
      </c>
      <c r="M2182" s="297">
        <v>239100</v>
      </c>
      <c r="N2182" s="297">
        <v>239100</v>
      </c>
    </row>
    <row r="2183" spans="1:14" s="66" customFormat="1" ht="30">
      <c r="A2183" s="238" t="s">
        <v>1061</v>
      </c>
      <c r="B2183" s="231" t="s">
        <v>1062</v>
      </c>
      <c r="C2183" s="30"/>
      <c r="D2183" s="23"/>
      <c r="E2183" s="25"/>
      <c r="F2183" s="137">
        <f>SUM(F2166:F2182)</f>
        <v>31296800</v>
      </c>
      <c r="G2183" s="114">
        <f>SUM(G2166:G2182)</f>
        <v>14913900</v>
      </c>
      <c r="H2183" s="114">
        <f t="shared" ref="H2183:M2183" si="379">SUM(H2166:H2182)</f>
        <v>25099110</v>
      </c>
      <c r="I2183" s="114">
        <f t="shared" si="379"/>
        <v>0</v>
      </c>
      <c r="J2183" s="114">
        <f>SUM(J2166:J2182)</f>
        <v>40013010</v>
      </c>
      <c r="K2183" s="490">
        <f t="shared" si="378"/>
        <v>1752569.838</v>
      </c>
      <c r="L2183" s="468">
        <f>SUM(L2166:L2182)</f>
        <v>38260440.162</v>
      </c>
      <c r="M2183" s="114">
        <f t="shared" si="379"/>
        <v>31296800</v>
      </c>
      <c r="N2183" s="114">
        <f>SUM(N2166:N2182)</f>
        <v>31296800</v>
      </c>
    </row>
    <row r="2184" spans="1:14" s="20" customFormat="1" ht="21">
      <c r="A2184" s="252"/>
      <c r="B2184" s="443"/>
      <c r="C2184" s="228"/>
      <c r="D2184" s="229"/>
      <c r="E2184" s="230"/>
      <c r="F2184" s="215"/>
      <c r="G2184" s="296"/>
      <c r="H2184" s="296"/>
      <c r="I2184" s="296"/>
      <c r="J2184" s="28"/>
      <c r="K2184" s="488"/>
      <c r="L2184" s="468"/>
      <c r="M2184" s="296"/>
      <c r="N2184" s="296"/>
    </row>
    <row r="2185" spans="1:14" s="20" customFormat="1" ht="15" customHeight="1">
      <c r="A2185" s="245" t="s">
        <v>1063</v>
      </c>
      <c r="B2185" s="231" t="s">
        <v>123</v>
      </c>
      <c r="C2185" s="139" t="s">
        <v>46</v>
      </c>
      <c r="D2185" s="241">
        <v>21010101</v>
      </c>
      <c r="E2185" s="243" t="s">
        <v>725</v>
      </c>
      <c r="F2185" s="217">
        <f>4861538848.81302-692637286.71</f>
        <v>4168901562.1030197</v>
      </c>
      <c r="G2185" s="298">
        <f>4861538848.81302-692637286.71</f>
        <v>4168901562.1030197</v>
      </c>
      <c r="H2185" s="298"/>
      <c r="I2185" s="298"/>
      <c r="J2185" s="28">
        <v>4168901562.1030197</v>
      </c>
      <c r="K2185" s="488"/>
      <c r="L2185" s="467">
        <v>4168901562.1030197</v>
      </c>
      <c r="M2185" s="298">
        <f>G2185*10%+G2185</f>
        <v>4585791718.3133221</v>
      </c>
      <c r="N2185" s="298">
        <f>M2185*10%+M2185</f>
        <v>5044370890.1446543</v>
      </c>
    </row>
    <row r="2186" spans="1:14" s="20" customFormat="1">
      <c r="A2186" s="245"/>
      <c r="B2186" s="231"/>
      <c r="C2186" s="139" t="s">
        <v>46</v>
      </c>
      <c r="D2186" s="77">
        <v>21020127</v>
      </c>
      <c r="E2186" s="135" t="s">
        <v>1714</v>
      </c>
      <c r="F2186" s="217"/>
      <c r="G2186" s="298">
        <v>1101795252.2</v>
      </c>
      <c r="H2186" s="298"/>
      <c r="I2186" s="298"/>
      <c r="J2186" s="28">
        <v>1101795252.2</v>
      </c>
      <c r="K2186" s="488"/>
      <c r="L2186" s="467">
        <v>1101795252.2</v>
      </c>
      <c r="M2186" s="410">
        <f>G2186*10%+G2186</f>
        <v>1211974777.4200001</v>
      </c>
      <c r="N2186" s="410">
        <f>M2186*10%+M2186</f>
        <v>1333172255.1620002</v>
      </c>
    </row>
    <row r="2187" spans="1:14" s="20" customFormat="1">
      <c r="A2187" s="238"/>
      <c r="B2187" s="231"/>
      <c r="C2187" s="30" t="s">
        <v>1836</v>
      </c>
      <c r="D2187" s="23"/>
      <c r="E2187" s="25"/>
      <c r="F2187" s="137">
        <f>SUM(F2185)</f>
        <v>4168901562.1030197</v>
      </c>
      <c r="G2187" s="114">
        <f>SUM(G2185:G2186)</f>
        <v>5270696814.3030195</v>
      </c>
      <c r="H2187" s="114">
        <f t="shared" ref="H2187:I2187" si="380">SUM(H2185:H2186)</f>
        <v>0</v>
      </c>
      <c r="I2187" s="114">
        <f t="shared" si="380"/>
        <v>0</v>
      </c>
      <c r="J2187" s="114">
        <f>SUM(J2185:J2186)</f>
        <v>5270696814.3030195</v>
      </c>
      <c r="K2187" s="490"/>
      <c r="L2187" s="468">
        <f>SUM(L2185:L2186)</f>
        <v>5270696814.3030195</v>
      </c>
      <c r="M2187" s="114">
        <f>SUM(M2185:M2186)</f>
        <v>5797766495.7333221</v>
      </c>
      <c r="N2187" s="114">
        <f>SUM(N2185:N2186)</f>
        <v>6377543145.306654</v>
      </c>
    </row>
    <row r="2188" spans="1:14" s="20" customFormat="1">
      <c r="A2188" s="244"/>
      <c r="B2188" s="231"/>
      <c r="C2188" s="139" t="s">
        <v>47</v>
      </c>
      <c r="D2188" s="77">
        <v>22020105</v>
      </c>
      <c r="E2188" s="135" t="s">
        <v>1733</v>
      </c>
      <c r="F2188" s="217">
        <v>20438000</v>
      </c>
      <c r="G2188" s="298">
        <v>10000000</v>
      </c>
      <c r="H2188" s="298">
        <v>5000000</v>
      </c>
      <c r="I2188" s="298"/>
      <c r="J2188" s="28">
        <v>15000000</v>
      </c>
      <c r="K2188" s="488">
        <f>J2188*4.38%</f>
        <v>657000</v>
      </c>
      <c r="L2188" s="469">
        <v>14343000</v>
      </c>
      <c r="M2188" s="298">
        <v>27058000</v>
      </c>
      <c r="N2188" s="298">
        <v>26842000</v>
      </c>
    </row>
    <row r="2189" spans="1:14" s="20" customFormat="1">
      <c r="A2189" s="244"/>
      <c r="B2189" s="231"/>
      <c r="C2189" s="139" t="s">
        <v>47</v>
      </c>
      <c r="D2189" s="77">
        <v>22020301</v>
      </c>
      <c r="E2189" s="135" t="s">
        <v>737</v>
      </c>
      <c r="F2189" s="217">
        <v>4917000</v>
      </c>
      <c r="G2189" s="298">
        <v>4917000</v>
      </c>
      <c r="H2189" s="298"/>
      <c r="I2189" s="298"/>
      <c r="J2189" s="28">
        <v>4917000</v>
      </c>
      <c r="K2189" s="488">
        <f t="shared" ref="K2189:K2209" si="381">J2189*4.38%</f>
        <v>215364.6</v>
      </c>
      <c r="L2189" s="469">
        <v>4701635.4000000004</v>
      </c>
      <c r="M2189" s="298">
        <v>4376400</v>
      </c>
      <c r="N2189" s="298">
        <v>4376400</v>
      </c>
    </row>
    <row r="2190" spans="1:14" s="20" customFormat="1">
      <c r="A2190" s="244"/>
      <c r="B2190" s="231"/>
      <c r="C2190" s="139" t="s">
        <v>47</v>
      </c>
      <c r="D2190" s="77">
        <v>22020305</v>
      </c>
      <c r="E2190" s="135" t="s">
        <v>755</v>
      </c>
      <c r="F2190" s="217">
        <v>1420000</v>
      </c>
      <c r="G2190" s="298">
        <v>1420000</v>
      </c>
      <c r="H2190" s="298">
        <v>2000000</v>
      </c>
      <c r="I2190" s="298"/>
      <c r="J2190" s="28">
        <v>3420000</v>
      </c>
      <c r="K2190" s="488">
        <f t="shared" si="381"/>
        <v>149796</v>
      </c>
      <c r="L2190" s="469">
        <v>3270204</v>
      </c>
      <c r="M2190" s="298">
        <v>6470000</v>
      </c>
      <c r="N2190" s="298">
        <v>6470000</v>
      </c>
    </row>
    <row r="2191" spans="1:14" s="20" customFormat="1">
      <c r="A2191" s="244"/>
      <c r="B2191" s="231"/>
      <c r="C2191" s="139" t="s">
        <v>47</v>
      </c>
      <c r="D2191" s="77">
        <v>22020306</v>
      </c>
      <c r="E2191" s="135" t="s">
        <v>765</v>
      </c>
      <c r="F2191" s="217">
        <v>2400000</v>
      </c>
      <c r="G2191" s="298">
        <v>2400000</v>
      </c>
      <c r="H2191" s="298"/>
      <c r="I2191" s="298">
        <v>2000000</v>
      </c>
      <c r="J2191" s="28">
        <v>400000</v>
      </c>
      <c r="K2191" s="488">
        <f t="shared" si="381"/>
        <v>17520</v>
      </c>
      <c r="L2191" s="469">
        <v>382480</v>
      </c>
      <c r="M2191" s="298">
        <v>2400000</v>
      </c>
      <c r="N2191" s="298">
        <v>2400000</v>
      </c>
    </row>
    <row r="2192" spans="1:14" s="20" customFormat="1">
      <c r="A2192" s="244"/>
      <c r="B2192" s="231"/>
      <c r="C2192" s="139" t="s">
        <v>47</v>
      </c>
      <c r="D2192" s="77">
        <v>22020307</v>
      </c>
      <c r="E2192" s="135" t="s">
        <v>822</v>
      </c>
      <c r="F2192" s="217">
        <v>15947600</v>
      </c>
      <c r="G2192" s="298">
        <v>10000000</v>
      </c>
      <c r="H2192" s="298"/>
      <c r="I2192" s="298">
        <v>5000000</v>
      </c>
      <c r="J2192" s="28">
        <v>5000000</v>
      </c>
      <c r="K2192" s="488">
        <f t="shared" si="381"/>
        <v>219000</v>
      </c>
      <c r="L2192" s="469">
        <v>4781000</v>
      </c>
      <c r="M2192" s="298">
        <v>13947600</v>
      </c>
      <c r="N2192" s="298">
        <v>13947600</v>
      </c>
    </row>
    <row r="2193" spans="1:14" s="20" customFormat="1">
      <c r="A2193" s="244"/>
      <c r="B2193" s="231"/>
      <c r="C2193" s="139" t="s">
        <v>47</v>
      </c>
      <c r="D2193" s="77">
        <v>22020315</v>
      </c>
      <c r="E2193" s="135" t="s">
        <v>740</v>
      </c>
      <c r="F2193" s="217">
        <v>1200000</v>
      </c>
      <c r="G2193" s="298">
        <v>1200000</v>
      </c>
      <c r="H2193" s="298"/>
      <c r="I2193" s="298"/>
      <c r="J2193" s="28">
        <v>1200000</v>
      </c>
      <c r="K2193" s="488">
        <f t="shared" si="381"/>
        <v>52560</v>
      </c>
      <c r="L2193" s="469">
        <v>1147440</v>
      </c>
      <c r="M2193" s="298">
        <v>3600000</v>
      </c>
      <c r="N2193" s="298">
        <v>3600000</v>
      </c>
    </row>
    <row r="2194" spans="1:14" s="20" customFormat="1">
      <c r="A2194" s="244"/>
      <c r="B2194" s="231"/>
      <c r="C2194" s="139" t="s">
        <v>47</v>
      </c>
      <c r="D2194" s="77">
        <v>22020401</v>
      </c>
      <c r="E2194" s="135" t="s">
        <v>741</v>
      </c>
      <c r="F2194" s="217">
        <v>2000000</v>
      </c>
      <c r="G2194" s="298">
        <v>2000000</v>
      </c>
      <c r="H2194" s="298"/>
      <c r="I2194" s="298"/>
      <c r="J2194" s="28">
        <v>2000000</v>
      </c>
      <c r="K2194" s="488">
        <f t="shared" si="381"/>
        <v>87600</v>
      </c>
      <c r="L2194" s="469">
        <v>1912400</v>
      </c>
      <c r="M2194" s="298">
        <v>4000000</v>
      </c>
      <c r="N2194" s="298">
        <v>4000000</v>
      </c>
    </row>
    <row r="2195" spans="1:14" s="20" customFormat="1">
      <c r="A2195" s="244"/>
      <c r="B2195" s="231"/>
      <c r="C2195" s="139" t="s">
        <v>47</v>
      </c>
      <c r="D2195" s="77">
        <v>22020402</v>
      </c>
      <c r="E2195" s="135" t="s">
        <v>757</v>
      </c>
      <c r="F2195" s="217">
        <v>555000</v>
      </c>
      <c r="G2195" s="298">
        <v>555000</v>
      </c>
      <c r="H2195" s="298"/>
      <c r="I2195" s="298"/>
      <c r="J2195" s="28">
        <v>555000</v>
      </c>
      <c r="K2195" s="488">
        <f t="shared" si="381"/>
        <v>24309</v>
      </c>
      <c r="L2195" s="469">
        <v>530691</v>
      </c>
      <c r="M2195" s="298">
        <v>480000</v>
      </c>
      <c r="N2195" s="298">
        <v>480000</v>
      </c>
    </row>
    <row r="2196" spans="1:14" s="20" customFormat="1">
      <c r="A2196" s="244"/>
      <c r="B2196" s="231"/>
      <c r="C2196" s="139" t="s">
        <v>47</v>
      </c>
      <c r="D2196" s="77">
        <v>22020403</v>
      </c>
      <c r="E2196" s="135" t="s">
        <v>781</v>
      </c>
      <c r="F2196" s="217">
        <v>1440000</v>
      </c>
      <c r="G2196" s="298">
        <v>1440000</v>
      </c>
      <c r="H2196" s="298"/>
      <c r="I2196" s="298"/>
      <c r="J2196" s="28">
        <v>1440000</v>
      </c>
      <c r="K2196" s="488">
        <f t="shared" si="381"/>
        <v>63072</v>
      </c>
      <c r="L2196" s="469">
        <v>1376928</v>
      </c>
      <c r="M2196" s="298">
        <v>1440000</v>
      </c>
      <c r="N2196" s="298">
        <v>1440000</v>
      </c>
    </row>
    <row r="2197" spans="1:14" s="20" customFormat="1">
      <c r="A2197" s="244"/>
      <c r="B2197" s="231"/>
      <c r="C2197" s="139" t="s">
        <v>47</v>
      </c>
      <c r="D2197" s="77">
        <v>22020404</v>
      </c>
      <c r="E2197" s="135" t="s">
        <v>742</v>
      </c>
      <c r="F2197" s="217">
        <v>1340000</v>
      </c>
      <c r="G2197" s="298">
        <v>1340000</v>
      </c>
      <c r="H2197" s="298"/>
      <c r="I2197" s="298"/>
      <c r="J2197" s="28">
        <v>1340000</v>
      </c>
      <c r="K2197" s="488">
        <f t="shared" si="381"/>
        <v>58692</v>
      </c>
      <c r="L2197" s="469">
        <v>1281308</v>
      </c>
      <c r="M2197" s="298">
        <v>800000</v>
      </c>
      <c r="N2197" s="298">
        <v>800000</v>
      </c>
    </row>
    <row r="2198" spans="1:14" s="20" customFormat="1">
      <c r="A2198" s="244"/>
      <c r="B2198" s="231"/>
      <c r="C2198" s="139" t="s">
        <v>47</v>
      </c>
      <c r="D2198" s="77">
        <v>22020405</v>
      </c>
      <c r="E2198" s="135" t="s">
        <v>743</v>
      </c>
      <c r="F2198" s="217">
        <v>2400000</v>
      </c>
      <c r="G2198" s="298">
        <v>2400000</v>
      </c>
      <c r="H2198" s="298"/>
      <c r="I2198" s="298"/>
      <c r="J2198" s="28">
        <v>2400000</v>
      </c>
      <c r="K2198" s="488">
        <f t="shared" si="381"/>
        <v>105120</v>
      </c>
      <c r="L2198" s="469">
        <v>2294880</v>
      </c>
      <c r="M2198" s="298">
        <v>2400000</v>
      </c>
      <c r="N2198" s="298">
        <v>2400000</v>
      </c>
    </row>
    <row r="2199" spans="1:14" s="20" customFormat="1">
      <c r="A2199" s="244"/>
      <c r="B2199" s="231"/>
      <c r="C2199" s="139" t="s">
        <v>47</v>
      </c>
      <c r="D2199" s="77">
        <v>22020605</v>
      </c>
      <c r="E2199" s="135" t="s">
        <v>768</v>
      </c>
      <c r="F2199" s="217">
        <v>600000</v>
      </c>
      <c r="G2199" s="298">
        <v>600000</v>
      </c>
      <c r="H2199" s="298"/>
      <c r="I2199" s="298"/>
      <c r="J2199" s="28">
        <v>600000</v>
      </c>
      <c r="K2199" s="488">
        <f t="shared" si="381"/>
        <v>26280</v>
      </c>
      <c r="L2199" s="469">
        <v>573720</v>
      </c>
      <c r="M2199" s="298">
        <v>600000</v>
      </c>
      <c r="N2199" s="298">
        <v>600000</v>
      </c>
    </row>
    <row r="2200" spans="1:14" s="20" customFormat="1">
      <c r="A2200" s="244"/>
      <c r="B2200" s="231"/>
      <c r="C2200" s="139" t="s">
        <v>47</v>
      </c>
      <c r="D2200" s="77">
        <v>22020609</v>
      </c>
      <c r="E2200" s="135" t="s">
        <v>1064</v>
      </c>
      <c r="F2200" s="217">
        <v>280480782</v>
      </c>
      <c r="G2200" s="298">
        <f>200000000+200000000</f>
        <v>400000000</v>
      </c>
      <c r="H2200" s="298"/>
      <c r="I2200" s="298">
        <v>20000000</v>
      </c>
      <c r="J2200" s="28">
        <v>380000000</v>
      </c>
      <c r="K2200" s="488">
        <f t="shared" si="381"/>
        <v>16644000</v>
      </c>
      <c r="L2200" s="469">
        <v>363356000</v>
      </c>
      <c r="M2200" s="298">
        <f>G2200*10%+G2200</f>
        <v>440000000</v>
      </c>
      <c r="N2200" s="298">
        <f>M2200*10%+M2200</f>
        <v>484000000</v>
      </c>
    </row>
    <row r="2201" spans="1:14" s="20" customFormat="1">
      <c r="A2201" s="244"/>
      <c r="B2201" s="231"/>
      <c r="C2201" s="139" t="s">
        <v>47</v>
      </c>
      <c r="D2201" s="77">
        <v>22020708</v>
      </c>
      <c r="E2201" s="135" t="s">
        <v>1065</v>
      </c>
      <c r="F2201" s="217">
        <v>2700000</v>
      </c>
      <c r="G2201" s="298">
        <v>2700000</v>
      </c>
      <c r="H2201" s="298"/>
      <c r="I2201" s="298"/>
      <c r="J2201" s="28">
        <v>2700000</v>
      </c>
      <c r="K2201" s="488">
        <f t="shared" si="381"/>
        <v>118260</v>
      </c>
      <c r="L2201" s="469">
        <v>2581740</v>
      </c>
      <c r="M2201" s="298">
        <v>0</v>
      </c>
      <c r="N2201" s="298">
        <v>0</v>
      </c>
    </row>
    <row r="2202" spans="1:14" s="20" customFormat="1">
      <c r="A2202" s="244"/>
      <c r="B2202" s="231"/>
      <c r="C2202" s="139" t="s">
        <v>47</v>
      </c>
      <c r="D2202" s="77">
        <v>22020801</v>
      </c>
      <c r="E2202" s="135" t="s">
        <v>747</v>
      </c>
      <c r="F2202" s="217">
        <v>3041600</v>
      </c>
      <c r="G2202" s="298">
        <v>3041600</v>
      </c>
      <c r="H2202" s="298"/>
      <c r="I2202" s="298"/>
      <c r="J2202" s="28">
        <v>3041600</v>
      </c>
      <c r="K2202" s="488">
        <f t="shared" si="381"/>
        <v>133222.07999999999</v>
      </c>
      <c r="L2202" s="469">
        <v>2908377.92</v>
      </c>
      <c r="M2202" s="298">
        <v>3025600</v>
      </c>
      <c r="N2202" s="298">
        <v>3025600</v>
      </c>
    </row>
    <row r="2203" spans="1:14" s="20" customFormat="1">
      <c r="A2203" s="244"/>
      <c r="B2203" s="231"/>
      <c r="C2203" s="139" t="s">
        <v>47</v>
      </c>
      <c r="D2203" s="77">
        <v>22020803</v>
      </c>
      <c r="E2203" s="135" t="s">
        <v>748</v>
      </c>
      <c r="F2203" s="217">
        <v>2504000</v>
      </c>
      <c r="G2203" s="298">
        <v>2504000</v>
      </c>
      <c r="H2203" s="298"/>
      <c r="I2203" s="298"/>
      <c r="J2203" s="28">
        <v>2504000</v>
      </c>
      <c r="K2203" s="488">
        <f t="shared" si="381"/>
        <v>109675.2</v>
      </c>
      <c r="L2203" s="469">
        <v>2394324.8000000003</v>
      </c>
      <c r="M2203" s="298">
        <v>2504000</v>
      </c>
      <c r="N2203" s="298">
        <v>2504000</v>
      </c>
    </row>
    <row r="2204" spans="1:14" s="20" customFormat="1">
      <c r="A2204" s="244"/>
      <c r="B2204" s="231"/>
      <c r="C2204" s="139" t="s">
        <v>47</v>
      </c>
      <c r="D2204" s="77">
        <v>22021001</v>
      </c>
      <c r="E2204" s="135" t="s">
        <v>772</v>
      </c>
      <c r="F2204" s="217">
        <v>1434000</v>
      </c>
      <c r="G2204" s="298">
        <v>1434000</v>
      </c>
      <c r="H2204" s="298"/>
      <c r="I2204" s="298"/>
      <c r="J2204" s="28">
        <v>1434000</v>
      </c>
      <c r="K2204" s="488">
        <f t="shared" si="381"/>
        <v>62809.2</v>
      </c>
      <c r="L2204" s="469">
        <v>1371190.8</v>
      </c>
      <c r="M2204" s="298">
        <v>6946500</v>
      </c>
      <c r="N2204" s="298">
        <v>6894000</v>
      </c>
    </row>
    <row r="2205" spans="1:14" s="20" customFormat="1">
      <c r="A2205" s="244"/>
      <c r="B2205" s="231"/>
      <c r="C2205" s="139" t="s">
        <v>47</v>
      </c>
      <c r="D2205" s="77">
        <v>22021003</v>
      </c>
      <c r="E2205" s="135" t="s">
        <v>760</v>
      </c>
      <c r="F2205" s="217">
        <v>560000</v>
      </c>
      <c r="G2205" s="298">
        <v>560000</v>
      </c>
      <c r="H2205" s="298"/>
      <c r="I2205" s="298"/>
      <c r="J2205" s="28">
        <v>560000</v>
      </c>
      <c r="K2205" s="488">
        <f t="shared" si="381"/>
        <v>24528</v>
      </c>
      <c r="L2205" s="469">
        <v>535472</v>
      </c>
      <c r="M2205" s="298">
        <v>3560000</v>
      </c>
      <c r="N2205" s="298">
        <v>3560000</v>
      </c>
    </row>
    <row r="2206" spans="1:14" s="20" customFormat="1">
      <c r="A2206" s="244"/>
      <c r="B2206" s="231"/>
      <c r="C2206" s="139" t="s">
        <v>47</v>
      </c>
      <c r="D2206" s="77">
        <v>22021014</v>
      </c>
      <c r="E2206" s="135" t="s">
        <v>800</v>
      </c>
      <c r="F2206" s="217">
        <v>100000</v>
      </c>
      <c r="G2206" s="298">
        <v>100000</v>
      </c>
      <c r="H2206" s="298"/>
      <c r="I2206" s="298"/>
      <c r="J2206" s="28">
        <v>100000</v>
      </c>
      <c r="K2206" s="488">
        <f t="shared" si="381"/>
        <v>4380</v>
      </c>
      <c r="L2206" s="469">
        <v>95620</v>
      </c>
      <c r="M2206" s="298">
        <v>1299800</v>
      </c>
      <c r="N2206" s="298">
        <v>1299800</v>
      </c>
    </row>
    <row r="2207" spans="1:14" s="20" customFormat="1">
      <c r="A2207" s="244"/>
      <c r="B2207" s="231"/>
      <c r="C2207" s="139" t="s">
        <v>47</v>
      </c>
      <c r="D2207" s="77">
        <v>22021037</v>
      </c>
      <c r="E2207" s="135" t="s">
        <v>2614</v>
      </c>
      <c r="F2207" s="217"/>
      <c r="G2207" s="298"/>
      <c r="H2207" s="298">
        <v>15000000</v>
      </c>
      <c r="I2207" s="298"/>
      <c r="J2207" s="28">
        <v>15000000</v>
      </c>
      <c r="K2207" s="488">
        <f t="shared" si="381"/>
        <v>657000</v>
      </c>
      <c r="L2207" s="469">
        <v>14343000</v>
      </c>
      <c r="M2207" s="298"/>
      <c r="N2207" s="298"/>
    </row>
    <row r="2208" spans="1:14" s="20" customFormat="1">
      <c r="A2208" s="244"/>
      <c r="B2208" s="231"/>
      <c r="C2208" s="139" t="s">
        <v>47</v>
      </c>
      <c r="D2208" s="77"/>
      <c r="E2208" s="135" t="s">
        <v>2615</v>
      </c>
      <c r="F2208" s="217"/>
      <c r="G2208" s="298"/>
      <c r="H2208" s="298">
        <v>5000000</v>
      </c>
      <c r="I2208" s="298"/>
      <c r="J2208" s="28">
        <v>5000000</v>
      </c>
      <c r="K2208" s="488">
        <f t="shared" si="381"/>
        <v>219000</v>
      </c>
      <c r="L2208" s="469">
        <v>4781000</v>
      </c>
      <c r="M2208" s="298"/>
      <c r="N2208" s="298"/>
    </row>
    <row r="2209" spans="1:14" s="20" customFormat="1">
      <c r="A2209" s="238"/>
      <c r="B2209" s="231"/>
      <c r="C2209" s="30" t="s">
        <v>1837</v>
      </c>
      <c r="D2209" s="23"/>
      <c r="E2209" s="25"/>
      <c r="F2209" s="137">
        <f>SUM(F2188:F2206)</f>
        <v>345477982</v>
      </c>
      <c r="G2209" s="114">
        <f>SUM(G2188:G2208)</f>
        <v>448611600</v>
      </c>
      <c r="H2209" s="114">
        <f t="shared" ref="H2209:I2209" si="382">SUM(H2188:H2208)</f>
        <v>27000000</v>
      </c>
      <c r="I2209" s="114">
        <f t="shared" si="382"/>
        <v>27000000</v>
      </c>
      <c r="J2209" s="114">
        <f>SUM(J2188:J2208)</f>
        <v>448611600</v>
      </c>
      <c r="K2209" s="490">
        <f t="shared" si="381"/>
        <v>19649188.079999998</v>
      </c>
      <c r="L2209" s="468">
        <f>SUM(L2188:L2208)</f>
        <v>428962411.92000002</v>
      </c>
      <c r="M2209" s="114">
        <f>SUM(M2188:M2206)</f>
        <v>524907900</v>
      </c>
      <c r="N2209" s="114">
        <f>SUM(N2188:N2206)</f>
        <v>568639400</v>
      </c>
    </row>
    <row r="2210" spans="1:14" s="66" customFormat="1" ht="30">
      <c r="A2210" s="238" t="s">
        <v>1063</v>
      </c>
      <c r="B2210" s="231" t="s">
        <v>1828</v>
      </c>
      <c r="C2210" s="30"/>
      <c r="D2210" s="23"/>
      <c r="E2210" s="25"/>
      <c r="F2210" s="137">
        <f>F2209+F2187</f>
        <v>4514379544.1030197</v>
      </c>
      <c r="G2210" s="114">
        <f>G2209+G2187</f>
        <v>5719308414.3030195</v>
      </c>
      <c r="H2210" s="114">
        <f t="shared" ref="H2210:I2210" si="383">H2209+H2187</f>
        <v>27000000</v>
      </c>
      <c r="I2210" s="114">
        <f t="shared" si="383"/>
        <v>27000000</v>
      </c>
      <c r="J2210" s="114">
        <f>J2209+J2187</f>
        <v>5719308414.3030195</v>
      </c>
      <c r="K2210" s="490"/>
      <c r="L2210" s="468">
        <f>L2209+L2187</f>
        <v>5699659226.2230196</v>
      </c>
      <c r="M2210" s="114">
        <f>M2209+M2187</f>
        <v>6322674395.7333221</v>
      </c>
      <c r="N2210" s="114">
        <f>N2209+N2187</f>
        <v>6946182545.306654</v>
      </c>
    </row>
    <row r="2211" spans="1:14" s="20" customFormat="1" ht="21">
      <c r="A2211" s="252"/>
      <c r="B2211" s="443"/>
      <c r="C2211" s="228"/>
      <c r="D2211" s="229"/>
      <c r="E2211" s="230"/>
      <c r="F2211" s="215"/>
      <c r="G2211" s="296"/>
      <c r="H2211" s="296"/>
      <c r="I2211" s="296"/>
      <c r="J2211" s="28"/>
      <c r="K2211" s="488"/>
      <c r="L2211" s="468"/>
      <c r="M2211" s="296"/>
      <c r="N2211" s="296"/>
    </row>
    <row r="2212" spans="1:14" s="20" customFormat="1" ht="30">
      <c r="A2212" s="238" t="s">
        <v>1067</v>
      </c>
      <c r="B2212" s="231" t="s">
        <v>1066</v>
      </c>
      <c r="C2212" s="32" t="s">
        <v>946</v>
      </c>
      <c r="D2212" s="77">
        <v>21010101</v>
      </c>
      <c r="E2212" s="135" t="s">
        <v>725</v>
      </c>
      <c r="F2212" s="138">
        <v>55139699.784399994</v>
      </c>
      <c r="G2212" s="297">
        <v>55139699.784399994</v>
      </c>
      <c r="H2212" s="297"/>
      <c r="I2212" s="297"/>
      <c r="J2212" s="28">
        <v>55139699.784399994</v>
      </c>
      <c r="K2212" s="488"/>
      <c r="L2212" s="467">
        <v>55139699.784399994</v>
      </c>
      <c r="M2212" s="297">
        <v>60653669.762839995</v>
      </c>
      <c r="N2212" s="297">
        <v>66719036.739124</v>
      </c>
    </row>
    <row r="2213" spans="1:14" s="20" customFormat="1">
      <c r="A2213" s="253"/>
      <c r="B2213" s="231"/>
      <c r="C2213" s="32" t="s">
        <v>946</v>
      </c>
      <c r="D2213" s="77">
        <v>21020101</v>
      </c>
      <c r="E2213" s="135" t="s">
        <v>726</v>
      </c>
      <c r="F2213" s="138">
        <v>1974883.4960999996</v>
      </c>
      <c r="G2213" s="297">
        <v>1974883.4960999996</v>
      </c>
      <c r="H2213" s="297"/>
      <c r="I2213" s="297"/>
      <c r="J2213" s="28">
        <v>1974883.4960999996</v>
      </c>
      <c r="K2213" s="488"/>
      <c r="L2213" s="467">
        <v>1974883.4960999996</v>
      </c>
      <c r="M2213" s="297">
        <v>2172371.8457099996</v>
      </c>
      <c r="N2213" s="297">
        <v>2389609.0302809994</v>
      </c>
    </row>
    <row r="2214" spans="1:14" s="20" customFormat="1">
      <c r="A2214" s="253"/>
      <c r="B2214" s="231"/>
      <c r="C2214" s="32" t="s">
        <v>946</v>
      </c>
      <c r="D2214" s="77">
        <v>21020102</v>
      </c>
      <c r="E2214" s="135" t="s">
        <v>727</v>
      </c>
      <c r="F2214" s="138">
        <v>789953.39844000014</v>
      </c>
      <c r="G2214" s="297">
        <v>789953.39844000014</v>
      </c>
      <c r="H2214" s="297"/>
      <c r="I2214" s="297"/>
      <c r="J2214" s="28">
        <v>789953.39844000014</v>
      </c>
      <c r="K2214" s="488"/>
      <c r="L2214" s="467">
        <v>789953.39844000014</v>
      </c>
      <c r="M2214" s="297">
        <v>868948.7382840002</v>
      </c>
      <c r="N2214" s="297">
        <v>955843.61211240024</v>
      </c>
    </row>
    <row r="2215" spans="1:14" s="20" customFormat="1">
      <c r="A2215" s="253"/>
      <c r="B2215" s="231"/>
      <c r="C2215" s="32" t="s">
        <v>946</v>
      </c>
      <c r="D2215" s="77">
        <v>21020103</v>
      </c>
      <c r="E2215" s="135" t="s">
        <v>728</v>
      </c>
      <c r="F2215" s="138">
        <v>394976.69922000007</v>
      </c>
      <c r="G2215" s="297">
        <v>394976.69922000007</v>
      </c>
      <c r="H2215" s="297"/>
      <c r="I2215" s="297"/>
      <c r="J2215" s="28">
        <v>394976.69922000007</v>
      </c>
      <c r="K2215" s="488"/>
      <c r="L2215" s="467">
        <v>394976.69922000007</v>
      </c>
      <c r="M2215" s="297">
        <v>434474.3691420001</v>
      </c>
      <c r="N2215" s="297">
        <v>477921.80605620012</v>
      </c>
    </row>
    <row r="2216" spans="1:14" s="20" customFormat="1">
      <c r="A2216" s="253"/>
      <c r="B2216" s="231"/>
      <c r="C2216" s="32" t="s">
        <v>946</v>
      </c>
      <c r="D2216" s="77">
        <v>21020104</v>
      </c>
      <c r="E2216" s="135" t="s">
        <v>729</v>
      </c>
      <c r="F2216" s="138">
        <v>394976.69922000007</v>
      </c>
      <c r="G2216" s="297">
        <v>394976.69922000007</v>
      </c>
      <c r="H2216" s="297"/>
      <c r="I2216" s="297"/>
      <c r="J2216" s="28">
        <v>394976.69922000007</v>
      </c>
      <c r="K2216" s="488"/>
      <c r="L2216" s="467">
        <v>394976.69922000007</v>
      </c>
      <c r="M2216" s="297">
        <v>434474.3691420001</v>
      </c>
      <c r="N2216" s="297">
        <v>477921.80605620012</v>
      </c>
    </row>
    <row r="2217" spans="1:14" s="20" customFormat="1">
      <c r="A2217" s="253"/>
      <c r="B2217" s="231"/>
      <c r="C2217" s="32" t="s">
        <v>946</v>
      </c>
      <c r="D2217" s="77">
        <v>21020105</v>
      </c>
      <c r="E2217" s="135" t="s">
        <v>730</v>
      </c>
      <c r="F2217" s="138">
        <v>32933.520000000004</v>
      </c>
      <c r="G2217" s="297">
        <v>32933.520000000004</v>
      </c>
      <c r="H2217" s="297"/>
      <c r="I2217" s="297"/>
      <c r="J2217" s="28">
        <v>32933.520000000004</v>
      </c>
      <c r="K2217" s="488"/>
      <c r="L2217" s="467">
        <v>32933.520000000004</v>
      </c>
      <c r="M2217" s="297">
        <v>36226.872000000003</v>
      </c>
      <c r="N2217" s="297">
        <v>39849.559200000003</v>
      </c>
    </row>
    <row r="2218" spans="1:14" s="20" customFormat="1">
      <c r="A2218" s="253"/>
      <c r="B2218" s="231"/>
      <c r="C2218" s="32" t="s">
        <v>946</v>
      </c>
      <c r="D2218" s="77">
        <v>21020107</v>
      </c>
      <c r="E2218" s="135" t="s">
        <v>732</v>
      </c>
      <c r="F2218" s="138">
        <v>432000</v>
      </c>
      <c r="G2218" s="297">
        <v>432000</v>
      </c>
      <c r="H2218" s="297"/>
      <c r="I2218" s="297"/>
      <c r="J2218" s="28">
        <v>432000</v>
      </c>
      <c r="K2218" s="488"/>
      <c r="L2218" s="467">
        <v>432000</v>
      </c>
      <c r="M2218" s="297">
        <v>475200</v>
      </c>
      <c r="N2218" s="297">
        <v>522720</v>
      </c>
    </row>
    <row r="2219" spans="1:14" s="20" customFormat="1">
      <c r="A2219" s="253"/>
      <c r="B2219" s="231"/>
      <c r="C2219" s="32" t="s">
        <v>946</v>
      </c>
      <c r="D2219" s="77">
        <v>21020110</v>
      </c>
      <c r="E2219" s="135" t="s">
        <v>733</v>
      </c>
      <c r="F2219" s="138">
        <v>6057833.9999999981</v>
      </c>
      <c r="G2219" s="297">
        <v>6057833.9999999981</v>
      </c>
      <c r="H2219" s="297"/>
      <c r="I2219" s="297"/>
      <c r="J2219" s="28">
        <v>6057833.9999999981</v>
      </c>
      <c r="K2219" s="488"/>
      <c r="L2219" s="467">
        <v>6057833.9999999981</v>
      </c>
      <c r="M2219" s="297">
        <v>6663617.3999999976</v>
      </c>
      <c r="N2219" s="297">
        <v>7329979.1399999969</v>
      </c>
    </row>
    <row r="2220" spans="1:14" s="20" customFormat="1">
      <c r="A2220" s="253"/>
      <c r="B2220" s="231"/>
      <c r="C2220" s="32" t="s">
        <v>946</v>
      </c>
      <c r="D2220" s="77">
        <v>21020124</v>
      </c>
      <c r="E2220" s="135" t="s">
        <v>734</v>
      </c>
      <c r="F2220" s="138">
        <v>2010000</v>
      </c>
      <c r="G2220" s="297">
        <v>2010000</v>
      </c>
      <c r="H2220" s="297"/>
      <c r="I2220" s="297"/>
      <c r="J2220" s="28">
        <v>2010000</v>
      </c>
      <c r="K2220" s="488"/>
      <c r="L2220" s="467">
        <v>2010000</v>
      </c>
      <c r="M2220" s="297">
        <v>2211000</v>
      </c>
      <c r="N2220" s="297">
        <v>2432100</v>
      </c>
    </row>
    <row r="2221" spans="1:14" s="20" customFormat="1">
      <c r="A2221" s="253"/>
      <c r="B2221" s="231"/>
      <c r="C2221" s="32" t="s">
        <v>946</v>
      </c>
      <c r="D2221" s="77">
        <v>21020154</v>
      </c>
      <c r="E2221" s="135" t="s">
        <v>1068</v>
      </c>
      <c r="F2221" s="138">
        <v>0</v>
      </c>
      <c r="G2221" s="297">
        <v>38400000</v>
      </c>
      <c r="H2221" s="297"/>
      <c r="I2221" s="297"/>
      <c r="J2221" s="28">
        <v>38400000</v>
      </c>
      <c r="K2221" s="488"/>
      <c r="L2221" s="467">
        <v>38400000</v>
      </c>
      <c r="M2221" s="297">
        <v>38400000</v>
      </c>
      <c r="N2221" s="297">
        <v>38400000</v>
      </c>
    </row>
    <row r="2222" spans="1:14" s="20" customFormat="1">
      <c r="A2222" s="253"/>
      <c r="B2222" s="231"/>
      <c r="C2222" s="32" t="s">
        <v>946</v>
      </c>
      <c r="D2222" s="77">
        <v>21020155</v>
      </c>
      <c r="E2222" s="135" t="s">
        <v>1069</v>
      </c>
      <c r="F2222" s="138">
        <v>6164433506.5907192</v>
      </c>
      <c r="G2222" s="297">
        <v>6164433506.5907192</v>
      </c>
      <c r="H2222" s="297"/>
      <c r="I2222" s="297"/>
      <c r="J2222" s="28">
        <v>6164433506.5907192</v>
      </c>
      <c r="K2222" s="488"/>
      <c r="L2222" s="467">
        <v>6164433506.5907192</v>
      </c>
      <c r="M2222" s="297">
        <v>6780876857.2497911</v>
      </c>
      <c r="N2222" s="297">
        <v>7458964542.9747715</v>
      </c>
    </row>
    <row r="2223" spans="1:14" s="20" customFormat="1">
      <c r="A2223" s="238"/>
      <c r="B2223" s="231"/>
      <c r="C2223" s="30" t="s">
        <v>1836</v>
      </c>
      <c r="D2223" s="23"/>
      <c r="E2223" s="25"/>
      <c r="F2223" s="137">
        <f>SUM(F2212:F2222)</f>
        <v>6231660764.1880989</v>
      </c>
      <c r="G2223" s="114">
        <f>SUM(G2212:G2222)</f>
        <v>6270060764.1880989</v>
      </c>
      <c r="H2223" s="114">
        <f t="shared" ref="H2223:M2223" si="384">SUM(H2212:H2222)</f>
        <v>0</v>
      </c>
      <c r="I2223" s="114">
        <f t="shared" si="384"/>
        <v>0</v>
      </c>
      <c r="J2223" s="114">
        <f>SUM(J2212:J2222)</f>
        <v>6270060764.1880989</v>
      </c>
      <c r="K2223" s="490"/>
      <c r="L2223" s="468">
        <f>SUM(L2212:L2222)</f>
        <v>6270060764.1880989</v>
      </c>
      <c r="M2223" s="114">
        <f t="shared" si="384"/>
        <v>6893226840.6069088</v>
      </c>
      <c r="N2223" s="114">
        <f>SUM(N2212:N2222)</f>
        <v>7578709524.6676016</v>
      </c>
    </row>
    <row r="2224" spans="1:14" s="20" customFormat="1">
      <c r="A2224" s="253"/>
      <c r="B2224" s="231"/>
      <c r="C2224" s="32" t="s">
        <v>47</v>
      </c>
      <c r="D2224" s="239">
        <v>22020105</v>
      </c>
      <c r="E2224" s="135" t="s">
        <v>1733</v>
      </c>
      <c r="F2224" s="138">
        <v>17500000</v>
      </c>
      <c r="G2224" s="297">
        <v>17500000</v>
      </c>
      <c r="H2224" s="297"/>
      <c r="I2224" s="297"/>
      <c r="J2224" s="28">
        <v>17500000</v>
      </c>
      <c r="K2224" s="488">
        <f>J2224*4.38%</f>
        <v>766500</v>
      </c>
      <c r="L2224" s="469">
        <v>16733500</v>
      </c>
      <c r="M2224" s="297">
        <v>9480000</v>
      </c>
      <c r="N2224" s="297">
        <v>1320000</v>
      </c>
    </row>
    <row r="2225" spans="1:14" s="20" customFormat="1">
      <c r="A2225" s="253"/>
      <c r="B2225" s="231"/>
      <c r="C2225" s="32" t="s">
        <v>47</v>
      </c>
      <c r="D2225" s="239">
        <v>22020108</v>
      </c>
      <c r="E2225" s="135" t="s">
        <v>812</v>
      </c>
      <c r="F2225" s="138">
        <v>1200000</v>
      </c>
      <c r="G2225" s="297">
        <v>1200000</v>
      </c>
      <c r="H2225" s="297"/>
      <c r="I2225" s="297"/>
      <c r="J2225" s="28">
        <v>1200000</v>
      </c>
      <c r="K2225" s="488">
        <f t="shared" ref="K2225:K2238" si="385">J2225*4.38%</f>
        <v>52560</v>
      </c>
      <c r="L2225" s="469">
        <v>1147440</v>
      </c>
      <c r="M2225" s="297">
        <v>12080000</v>
      </c>
      <c r="N2225" s="297">
        <v>12080000</v>
      </c>
    </row>
    <row r="2226" spans="1:14" s="20" customFormat="1">
      <c r="A2226" s="253"/>
      <c r="B2226" s="231"/>
      <c r="C2226" s="32" t="s">
        <v>47</v>
      </c>
      <c r="D2226" s="239">
        <v>22020301</v>
      </c>
      <c r="E2226" s="135" t="s">
        <v>737</v>
      </c>
      <c r="F2226" s="138">
        <v>2988000</v>
      </c>
      <c r="G2226" s="297">
        <v>2988000</v>
      </c>
      <c r="H2226" s="297"/>
      <c r="I2226" s="297"/>
      <c r="J2226" s="28">
        <v>2988000</v>
      </c>
      <c r="K2226" s="488">
        <f t="shared" si="385"/>
        <v>130874.4</v>
      </c>
      <c r="L2226" s="469">
        <v>2857125.6</v>
      </c>
      <c r="M2226" s="297">
        <v>588000</v>
      </c>
      <c r="N2226" s="297">
        <v>588000</v>
      </c>
    </row>
    <row r="2227" spans="1:14" s="20" customFormat="1">
      <c r="A2227" s="253"/>
      <c r="B2227" s="231"/>
      <c r="C2227" s="32" t="s">
        <v>47</v>
      </c>
      <c r="D2227" s="239">
        <v>22020305</v>
      </c>
      <c r="E2227" s="135" t="s">
        <v>755</v>
      </c>
      <c r="F2227" s="138">
        <v>4867000</v>
      </c>
      <c r="G2227" s="297">
        <v>1000000</v>
      </c>
      <c r="H2227" s="297"/>
      <c r="I2227" s="297"/>
      <c r="J2227" s="28">
        <v>1000000</v>
      </c>
      <c r="K2227" s="488">
        <f t="shared" si="385"/>
        <v>43800</v>
      </c>
      <c r="L2227" s="469">
        <v>956200</v>
      </c>
      <c r="M2227" s="297">
        <v>4448000</v>
      </c>
      <c r="N2227" s="297">
        <v>4448000</v>
      </c>
    </row>
    <row r="2228" spans="1:14" s="20" customFormat="1">
      <c r="A2228" s="253"/>
      <c r="B2228" s="231"/>
      <c r="C2228" s="32" t="s">
        <v>47</v>
      </c>
      <c r="D2228" s="239">
        <v>22020401</v>
      </c>
      <c r="E2228" s="135" t="s">
        <v>741</v>
      </c>
      <c r="F2228" s="138">
        <v>1800000</v>
      </c>
      <c r="G2228" s="297">
        <v>1800000</v>
      </c>
      <c r="H2228" s="297"/>
      <c r="I2228" s="297"/>
      <c r="J2228" s="28">
        <v>1800000</v>
      </c>
      <c r="K2228" s="488">
        <f t="shared" si="385"/>
        <v>78840</v>
      </c>
      <c r="L2228" s="469">
        <v>1721160</v>
      </c>
      <c r="M2228" s="297">
        <v>1800000</v>
      </c>
      <c r="N2228" s="297">
        <v>1800000</v>
      </c>
    </row>
    <row r="2229" spans="1:14" s="20" customFormat="1">
      <c r="A2229" s="253"/>
      <c r="B2229" s="231"/>
      <c r="C2229" s="32" t="s">
        <v>47</v>
      </c>
      <c r="D2229" s="239">
        <v>22020402</v>
      </c>
      <c r="E2229" s="135" t="s">
        <v>757</v>
      </c>
      <c r="F2229" s="138">
        <v>600000</v>
      </c>
      <c r="G2229" s="297">
        <v>600000</v>
      </c>
      <c r="H2229" s="297"/>
      <c r="I2229" s="297"/>
      <c r="J2229" s="28">
        <v>600000</v>
      </c>
      <c r="K2229" s="488">
        <f t="shared" si="385"/>
        <v>26280</v>
      </c>
      <c r="L2229" s="469">
        <v>573720</v>
      </c>
      <c r="M2229" s="297">
        <v>0</v>
      </c>
      <c r="N2229" s="297">
        <v>0</v>
      </c>
    </row>
    <row r="2230" spans="1:14" s="20" customFormat="1">
      <c r="A2230" s="253"/>
      <c r="B2230" s="231"/>
      <c r="C2230" s="32" t="s">
        <v>47</v>
      </c>
      <c r="D2230" s="239">
        <v>22020404</v>
      </c>
      <c r="E2230" s="135" t="s">
        <v>742</v>
      </c>
      <c r="F2230" s="138">
        <v>500000</v>
      </c>
      <c r="G2230" s="297">
        <v>500000</v>
      </c>
      <c r="H2230" s="297"/>
      <c r="I2230" s="297"/>
      <c r="J2230" s="28">
        <v>500000</v>
      </c>
      <c r="K2230" s="488">
        <f t="shared" si="385"/>
        <v>21900</v>
      </c>
      <c r="L2230" s="469">
        <v>478100</v>
      </c>
      <c r="M2230" s="297">
        <v>0</v>
      </c>
      <c r="N2230" s="297">
        <v>0</v>
      </c>
    </row>
    <row r="2231" spans="1:14" s="20" customFormat="1">
      <c r="A2231" s="253"/>
      <c r="B2231" s="231"/>
      <c r="C2231" s="32" t="s">
        <v>47</v>
      </c>
      <c r="D2231" s="239">
        <v>22020405</v>
      </c>
      <c r="E2231" s="135" t="s">
        <v>743</v>
      </c>
      <c r="F2231" s="138">
        <v>360000</v>
      </c>
      <c r="G2231" s="297">
        <v>360000</v>
      </c>
      <c r="H2231" s="297"/>
      <c r="I2231" s="297"/>
      <c r="J2231" s="28">
        <v>360000</v>
      </c>
      <c r="K2231" s="488">
        <f t="shared" si="385"/>
        <v>15768</v>
      </c>
      <c r="L2231" s="469">
        <v>344232</v>
      </c>
      <c r="M2231" s="297">
        <v>360000</v>
      </c>
      <c r="N2231" s="297">
        <v>360000</v>
      </c>
    </row>
    <row r="2232" spans="1:14" s="20" customFormat="1">
      <c r="A2232" s="253"/>
      <c r="B2232" s="231"/>
      <c r="C2232" s="32" t="s">
        <v>47</v>
      </c>
      <c r="D2232" s="239">
        <v>22020709</v>
      </c>
      <c r="E2232" s="135" t="s">
        <v>771</v>
      </c>
      <c r="F2232" s="138">
        <v>900000</v>
      </c>
      <c r="G2232" s="297">
        <v>900000</v>
      </c>
      <c r="H2232" s="297"/>
      <c r="I2232" s="297"/>
      <c r="J2232" s="28">
        <v>900000</v>
      </c>
      <c r="K2232" s="488">
        <f t="shared" si="385"/>
        <v>39420</v>
      </c>
      <c r="L2232" s="469">
        <v>860580</v>
      </c>
      <c r="M2232" s="297">
        <v>900000</v>
      </c>
      <c r="N2232" s="297">
        <v>900000</v>
      </c>
    </row>
    <row r="2233" spans="1:14" s="20" customFormat="1">
      <c r="A2233" s="253"/>
      <c r="B2233" s="231"/>
      <c r="C2233" s="32" t="s">
        <v>47</v>
      </c>
      <c r="D2233" s="239">
        <v>22020801</v>
      </c>
      <c r="E2233" s="135" t="s">
        <v>747</v>
      </c>
      <c r="F2233" s="138">
        <v>7830000</v>
      </c>
      <c r="G2233" s="297">
        <v>7830000</v>
      </c>
      <c r="H2233" s="297"/>
      <c r="I2233" s="297"/>
      <c r="J2233" s="28">
        <v>7830000</v>
      </c>
      <c r="K2233" s="488">
        <f t="shared" si="385"/>
        <v>342954</v>
      </c>
      <c r="L2233" s="469">
        <v>7487046</v>
      </c>
      <c r="M2233" s="297">
        <v>7830000</v>
      </c>
      <c r="N2233" s="297">
        <v>7830000</v>
      </c>
    </row>
    <row r="2234" spans="1:14" s="20" customFormat="1">
      <c r="A2234" s="253"/>
      <c r="B2234" s="231"/>
      <c r="C2234" s="32" t="s">
        <v>47</v>
      </c>
      <c r="D2234" s="239">
        <v>22020803</v>
      </c>
      <c r="E2234" s="135" t="s">
        <v>748</v>
      </c>
      <c r="F2234" s="138">
        <v>2164800</v>
      </c>
      <c r="G2234" s="297">
        <v>2164800</v>
      </c>
      <c r="H2234" s="297"/>
      <c r="I2234" s="297"/>
      <c r="J2234" s="28">
        <v>2164800</v>
      </c>
      <c r="K2234" s="488">
        <f t="shared" si="385"/>
        <v>94818.239999999991</v>
      </c>
      <c r="L2234" s="469">
        <v>2069981.76</v>
      </c>
      <c r="M2234" s="297">
        <v>2164800</v>
      </c>
      <c r="N2234" s="297">
        <v>2164800</v>
      </c>
    </row>
    <row r="2235" spans="1:14" s="20" customFormat="1">
      <c r="A2235" s="253"/>
      <c r="B2235" s="231"/>
      <c r="C2235" s="32" t="s">
        <v>47</v>
      </c>
      <c r="D2235" s="239">
        <v>22021001</v>
      </c>
      <c r="E2235" s="135" t="s">
        <v>772</v>
      </c>
      <c r="F2235" s="138">
        <v>6000000</v>
      </c>
      <c r="G2235" s="297">
        <v>6000000</v>
      </c>
      <c r="H2235" s="297"/>
      <c r="I2235" s="297"/>
      <c r="J2235" s="28">
        <v>6000000</v>
      </c>
      <c r="K2235" s="488">
        <f t="shared" si="385"/>
        <v>262800</v>
      </c>
      <c r="L2235" s="469">
        <v>5737200</v>
      </c>
      <c r="M2235" s="297">
        <v>6014400</v>
      </c>
      <c r="N2235" s="297">
        <v>714400</v>
      </c>
    </row>
    <row r="2236" spans="1:14" s="20" customFormat="1">
      <c r="A2236" s="253"/>
      <c r="B2236" s="231"/>
      <c r="C2236" s="32" t="s">
        <v>47</v>
      </c>
      <c r="D2236" s="239">
        <v>22021003</v>
      </c>
      <c r="E2236" s="135" t="s">
        <v>760</v>
      </c>
      <c r="F2236" s="138">
        <v>10000000</v>
      </c>
      <c r="G2236" s="297">
        <v>10000000</v>
      </c>
      <c r="H2236" s="297"/>
      <c r="I2236" s="297"/>
      <c r="J2236" s="28">
        <v>10000000</v>
      </c>
      <c r="K2236" s="488">
        <f t="shared" si="385"/>
        <v>438000</v>
      </c>
      <c r="L2236" s="469">
        <v>9562000</v>
      </c>
      <c r="M2236" s="297">
        <v>1260000</v>
      </c>
      <c r="N2236" s="297">
        <v>1260000</v>
      </c>
    </row>
    <row r="2237" spans="1:14" s="20" customFormat="1">
      <c r="A2237" s="253"/>
      <c r="B2237" s="231"/>
      <c r="C2237" s="32" t="s">
        <v>47</v>
      </c>
      <c r="D2237" s="239">
        <v>22040117</v>
      </c>
      <c r="E2237" s="135" t="s">
        <v>989</v>
      </c>
      <c r="F2237" s="138">
        <v>166800000</v>
      </c>
      <c r="G2237" s="297">
        <v>166800000</v>
      </c>
      <c r="H2237" s="297"/>
      <c r="I2237" s="297"/>
      <c r="J2237" s="28">
        <v>166800000</v>
      </c>
      <c r="K2237" s="488">
        <f t="shared" si="385"/>
        <v>7305840</v>
      </c>
      <c r="L2237" s="469">
        <v>159494160</v>
      </c>
      <c r="M2237" s="297">
        <v>194400000</v>
      </c>
      <c r="N2237" s="297">
        <v>194400000</v>
      </c>
    </row>
    <row r="2238" spans="1:14" s="20" customFormat="1">
      <c r="A2238" s="238"/>
      <c r="B2238" s="231"/>
      <c r="C2238" s="30" t="s">
        <v>1837</v>
      </c>
      <c r="D2238" s="23"/>
      <c r="E2238" s="25"/>
      <c r="F2238" s="137">
        <f>SUM(F2224:F2237)</f>
        <v>223509800</v>
      </c>
      <c r="G2238" s="114">
        <f>SUM(G2224:G2237)</f>
        <v>219642800</v>
      </c>
      <c r="H2238" s="114">
        <f t="shared" ref="H2238:I2238" si="386">SUM(H2224:H2237)</f>
        <v>0</v>
      </c>
      <c r="I2238" s="114">
        <f t="shared" si="386"/>
        <v>0</v>
      </c>
      <c r="J2238" s="114">
        <f>SUM(J2224:J2237)</f>
        <v>219642800</v>
      </c>
      <c r="K2238" s="490">
        <f t="shared" si="385"/>
        <v>9620354.6400000006</v>
      </c>
      <c r="L2238" s="468">
        <f>SUM(L2224:L2237)</f>
        <v>210022445.36000001</v>
      </c>
      <c r="M2238" s="114">
        <f>SUM(M2224:M2237)</f>
        <v>241325200</v>
      </c>
      <c r="N2238" s="114">
        <f>SUM(N2224:N2237)</f>
        <v>227865200</v>
      </c>
    </row>
    <row r="2239" spans="1:14" s="66" customFormat="1" ht="30">
      <c r="A2239" s="238" t="s">
        <v>1067</v>
      </c>
      <c r="B2239" s="231" t="s">
        <v>1829</v>
      </c>
      <c r="C2239" s="30"/>
      <c r="D2239" s="23"/>
      <c r="E2239" s="25"/>
      <c r="F2239" s="137">
        <f>F2238+F2223</f>
        <v>6455170564.1880989</v>
      </c>
      <c r="G2239" s="114">
        <f>G2238+G2223</f>
        <v>6489703564.1880989</v>
      </c>
      <c r="H2239" s="114">
        <f t="shared" ref="H2239:I2239" si="387">H2238+H2223</f>
        <v>0</v>
      </c>
      <c r="I2239" s="114">
        <f t="shared" si="387"/>
        <v>0</v>
      </c>
      <c r="J2239" s="114">
        <f>J2238+J2223</f>
        <v>6489703564.1880989</v>
      </c>
      <c r="K2239" s="490"/>
      <c r="L2239" s="468">
        <f>L2238+L2223</f>
        <v>6480083209.5480986</v>
      </c>
      <c r="M2239" s="114">
        <f>M2238+M2223</f>
        <v>7134552040.6069088</v>
      </c>
      <c r="N2239" s="114">
        <f>N2238+N2223</f>
        <v>7806574724.6676016</v>
      </c>
    </row>
    <row r="2240" spans="1:14" s="20" customFormat="1" ht="21">
      <c r="A2240" s="252"/>
      <c r="B2240" s="443"/>
      <c r="C2240" s="228"/>
      <c r="D2240" s="229"/>
      <c r="E2240" s="230"/>
      <c r="F2240" s="215"/>
      <c r="G2240" s="296"/>
      <c r="H2240" s="296"/>
      <c r="I2240" s="296"/>
      <c r="J2240" s="28"/>
      <c r="K2240" s="488"/>
      <c r="L2240" s="468"/>
      <c r="M2240" s="296"/>
      <c r="N2240" s="296"/>
    </row>
    <row r="2241" spans="1:14" s="20" customFormat="1" ht="30">
      <c r="A2241" s="238" t="s">
        <v>1070</v>
      </c>
      <c r="B2241" s="231" t="s">
        <v>1707</v>
      </c>
      <c r="C2241" s="32" t="s">
        <v>946</v>
      </c>
      <c r="D2241" s="77">
        <v>21010101</v>
      </c>
      <c r="E2241" s="240" t="s">
        <v>725</v>
      </c>
      <c r="F2241" s="138">
        <v>211299750</v>
      </c>
      <c r="G2241" s="297">
        <v>211299750</v>
      </c>
      <c r="H2241" s="297"/>
      <c r="I2241" s="297"/>
      <c r="J2241" s="28">
        <v>211299750</v>
      </c>
      <c r="K2241" s="488"/>
      <c r="L2241" s="467">
        <v>211299750</v>
      </c>
      <c r="M2241" s="297">
        <f>G2241*10%+G2241</f>
        <v>232429725</v>
      </c>
      <c r="N2241" s="297">
        <f>M2241*10%+M2241</f>
        <v>255672697.5</v>
      </c>
    </row>
    <row r="2242" spans="1:14" s="20" customFormat="1">
      <c r="A2242" s="238"/>
      <c r="B2242" s="231"/>
      <c r="C2242" s="30" t="s">
        <v>1836</v>
      </c>
      <c r="D2242" s="23"/>
      <c r="E2242" s="25"/>
      <c r="F2242" s="137">
        <f>SUM(F2241)</f>
        <v>211299750</v>
      </c>
      <c r="G2242" s="114">
        <f>SUM(G2241)</f>
        <v>211299750</v>
      </c>
      <c r="H2242" s="114">
        <f t="shared" ref="H2242:M2242" si="388">SUM(H2241)</f>
        <v>0</v>
      </c>
      <c r="I2242" s="114">
        <f t="shared" si="388"/>
        <v>0</v>
      </c>
      <c r="J2242" s="114">
        <f>SUM(J2241)</f>
        <v>211299750</v>
      </c>
      <c r="K2242" s="490"/>
      <c r="L2242" s="468">
        <f>SUM(L2241)</f>
        <v>211299750</v>
      </c>
      <c r="M2242" s="114">
        <f t="shared" si="388"/>
        <v>232429725</v>
      </c>
      <c r="N2242" s="114">
        <f>SUM(N2241)</f>
        <v>255672697.5</v>
      </c>
    </row>
    <row r="2243" spans="1:14" s="20" customFormat="1">
      <c r="A2243" s="253"/>
      <c r="B2243" s="231"/>
      <c r="C2243" s="32" t="s">
        <v>47</v>
      </c>
      <c r="D2243" s="239">
        <v>22020102</v>
      </c>
      <c r="E2243" s="135" t="s">
        <v>956</v>
      </c>
      <c r="F2243" s="136">
        <v>1788000</v>
      </c>
      <c r="G2243" s="28">
        <v>1788000</v>
      </c>
      <c r="H2243" s="28"/>
      <c r="I2243" s="28"/>
      <c r="J2243" s="28">
        <v>1788000</v>
      </c>
      <c r="K2243" s="488">
        <f>J2243*4.38%</f>
        <v>78314.399999999994</v>
      </c>
      <c r="L2243" s="469">
        <v>1709685.6</v>
      </c>
      <c r="M2243" s="28">
        <v>1788000</v>
      </c>
      <c r="N2243" s="28">
        <v>1788000</v>
      </c>
    </row>
    <row r="2244" spans="1:14" s="20" customFormat="1">
      <c r="A2244" s="253"/>
      <c r="B2244" s="231"/>
      <c r="C2244" s="32" t="s">
        <v>47</v>
      </c>
      <c r="D2244" s="239">
        <v>22020105</v>
      </c>
      <c r="E2244" s="135" t="s">
        <v>1733</v>
      </c>
      <c r="F2244" s="136">
        <v>3640000</v>
      </c>
      <c r="G2244" s="28">
        <v>3640000</v>
      </c>
      <c r="H2244" s="28"/>
      <c r="I2244" s="28"/>
      <c r="J2244" s="28">
        <v>3640000</v>
      </c>
      <c r="K2244" s="488">
        <f t="shared" ref="K2244:K2288" si="389">J2244*4.38%</f>
        <v>159432</v>
      </c>
      <c r="L2244" s="469">
        <v>3480568</v>
      </c>
      <c r="M2244" s="28">
        <v>3576000</v>
      </c>
      <c r="N2244" s="28">
        <v>3576000</v>
      </c>
    </row>
    <row r="2245" spans="1:14" s="20" customFormat="1">
      <c r="A2245" s="253"/>
      <c r="B2245" s="231"/>
      <c r="C2245" s="32" t="s">
        <v>47</v>
      </c>
      <c r="D2245" s="239">
        <v>22020108</v>
      </c>
      <c r="E2245" s="135" t="s">
        <v>812</v>
      </c>
      <c r="F2245" s="136">
        <v>792000</v>
      </c>
      <c r="G2245" s="28">
        <v>792000</v>
      </c>
      <c r="H2245" s="28"/>
      <c r="I2245" s="28"/>
      <c r="J2245" s="28">
        <v>792000</v>
      </c>
      <c r="K2245" s="488">
        <f t="shared" si="389"/>
        <v>34689.599999999999</v>
      </c>
      <c r="L2245" s="469">
        <v>757310.4</v>
      </c>
      <c r="M2245" s="28">
        <v>792000</v>
      </c>
      <c r="N2245" s="28">
        <v>792000</v>
      </c>
    </row>
    <row r="2246" spans="1:14" s="20" customFormat="1">
      <c r="A2246" s="253"/>
      <c r="B2246" s="231"/>
      <c r="C2246" s="32" t="s">
        <v>47</v>
      </c>
      <c r="D2246" s="239">
        <v>22020201</v>
      </c>
      <c r="E2246" s="135" t="s">
        <v>849</v>
      </c>
      <c r="F2246" s="136">
        <v>1680000</v>
      </c>
      <c r="G2246" s="28">
        <v>1680000</v>
      </c>
      <c r="H2246" s="28"/>
      <c r="I2246" s="28"/>
      <c r="J2246" s="28">
        <v>1680000</v>
      </c>
      <c r="K2246" s="488">
        <f t="shared" si="389"/>
        <v>73584</v>
      </c>
      <c r="L2246" s="469">
        <v>1606416</v>
      </c>
      <c r="M2246" s="28">
        <v>1680000</v>
      </c>
      <c r="N2246" s="28">
        <v>1680000</v>
      </c>
    </row>
    <row r="2247" spans="1:14" s="20" customFormat="1">
      <c r="A2247" s="253"/>
      <c r="B2247" s="231"/>
      <c r="C2247" s="32" t="s">
        <v>47</v>
      </c>
      <c r="D2247" s="239">
        <v>22020202</v>
      </c>
      <c r="E2247" s="135" t="s">
        <v>865</v>
      </c>
      <c r="F2247" s="136">
        <v>72000</v>
      </c>
      <c r="G2247" s="28">
        <v>72000</v>
      </c>
      <c r="H2247" s="28"/>
      <c r="I2247" s="28"/>
      <c r="J2247" s="28">
        <v>72000</v>
      </c>
      <c r="K2247" s="488">
        <f t="shared" si="389"/>
        <v>3153.6</v>
      </c>
      <c r="L2247" s="469">
        <v>68846.400000000009</v>
      </c>
      <c r="M2247" s="28">
        <v>72000</v>
      </c>
      <c r="N2247" s="28">
        <v>72000</v>
      </c>
    </row>
    <row r="2248" spans="1:14" s="20" customFormat="1">
      <c r="A2248" s="253"/>
      <c r="B2248" s="231"/>
      <c r="C2248" s="32" t="s">
        <v>47</v>
      </c>
      <c r="D2248" s="239">
        <v>22020203</v>
      </c>
      <c r="E2248" s="135" t="s">
        <v>779</v>
      </c>
      <c r="F2248" s="136">
        <v>1800000</v>
      </c>
      <c r="G2248" s="28">
        <v>1800000</v>
      </c>
      <c r="H2248" s="28"/>
      <c r="I2248" s="28"/>
      <c r="J2248" s="28">
        <v>1800000</v>
      </c>
      <c r="K2248" s="488">
        <f t="shared" si="389"/>
        <v>78840</v>
      </c>
      <c r="L2248" s="469">
        <v>1721160</v>
      </c>
      <c r="M2248" s="28">
        <v>1800000</v>
      </c>
      <c r="N2248" s="28">
        <v>1800000</v>
      </c>
    </row>
    <row r="2249" spans="1:14" s="20" customFormat="1">
      <c r="A2249" s="253"/>
      <c r="B2249" s="231"/>
      <c r="C2249" s="32" t="s">
        <v>47</v>
      </c>
      <c r="D2249" s="239">
        <v>22020205</v>
      </c>
      <c r="E2249" s="135" t="s">
        <v>850</v>
      </c>
      <c r="F2249" s="136">
        <v>456000</v>
      </c>
      <c r="G2249" s="28">
        <v>456000</v>
      </c>
      <c r="H2249" s="28"/>
      <c r="I2249" s="28"/>
      <c r="J2249" s="28">
        <v>456000</v>
      </c>
      <c r="K2249" s="488">
        <f t="shared" si="389"/>
        <v>19972.8</v>
      </c>
      <c r="L2249" s="469">
        <v>436027.2</v>
      </c>
      <c r="M2249" s="28">
        <v>456000</v>
      </c>
      <c r="N2249" s="28">
        <v>456000</v>
      </c>
    </row>
    <row r="2250" spans="1:14" s="20" customFormat="1">
      <c r="A2250" s="253"/>
      <c r="B2250" s="231"/>
      <c r="C2250" s="32" t="s">
        <v>47</v>
      </c>
      <c r="D2250" s="239">
        <v>22020209</v>
      </c>
      <c r="E2250" s="135" t="s">
        <v>750</v>
      </c>
      <c r="F2250" s="136">
        <v>70000</v>
      </c>
      <c r="G2250" s="28">
        <v>70000</v>
      </c>
      <c r="H2250" s="28"/>
      <c r="I2250" s="28"/>
      <c r="J2250" s="28">
        <v>70000</v>
      </c>
      <c r="K2250" s="488">
        <f t="shared" si="389"/>
        <v>3066</v>
      </c>
      <c r="L2250" s="469">
        <v>66934</v>
      </c>
      <c r="M2250" s="28">
        <v>70000</v>
      </c>
      <c r="N2250" s="28">
        <v>70000</v>
      </c>
    </row>
    <row r="2251" spans="1:14" s="20" customFormat="1">
      <c r="A2251" s="253"/>
      <c r="B2251" s="231"/>
      <c r="C2251" s="32" t="s">
        <v>47</v>
      </c>
      <c r="D2251" s="239">
        <v>22020301</v>
      </c>
      <c r="E2251" s="135" t="s">
        <v>737</v>
      </c>
      <c r="F2251" s="136">
        <v>3077500</v>
      </c>
      <c r="G2251" s="28">
        <v>3077500</v>
      </c>
      <c r="H2251" s="28"/>
      <c r="I2251" s="28"/>
      <c r="J2251" s="28">
        <v>3077500</v>
      </c>
      <c r="K2251" s="488">
        <f t="shared" si="389"/>
        <v>134794.5</v>
      </c>
      <c r="L2251" s="469">
        <v>2942705.5</v>
      </c>
      <c r="M2251" s="28">
        <v>3077500</v>
      </c>
      <c r="N2251" s="28">
        <v>3077500</v>
      </c>
    </row>
    <row r="2252" spans="1:14" s="20" customFormat="1">
      <c r="A2252" s="253"/>
      <c r="B2252" s="231"/>
      <c r="C2252" s="32" t="s">
        <v>47</v>
      </c>
      <c r="D2252" s="239">
        <v>22020302</v>
      </c>
      <c r="E2252" s="135" t="s">
        <v>872</v>
      </c>
      <c r="F2252" s="136">
        <v>739000</v>
      </c>
      <c r="G2252" s="28">
        <v>739000</v>
      </c>
      <c r="H2252" s="28"/>
      <c r="I2252" s="28"/>
      <c r="J2252" s="28">
        <v>739000</v>
      </c>
      <c r="K2252" s="488">
        <f t="shared" si="389"/>
        <v>32368.2</v>
      </c>
      <c r="L2252" s="469">
        <v>706631.8</v>
      </c>
      <c r="M2252" s="28">
        <v>739000</v>
      </c>
      <c r="N2252" s="28">
        <v>739000</v>
      </c>
    </row>
    <row r="2253" spans="1:14" s="20" customFormat="1">
      <c r="A2253" s="253"/>
      <c r="B2253" s="231"/>
      <c r="C2253" s="32" t="s">
        <v>47</v>
      </c>
      <c r="D2253" s="239">
        <v>22020303</v>
      </c>
      <c r="E2253" s="135" t="s">
        <v>738</v>
      </c>
      <c r="F2253" s="136">
        <v>657000</v>
      </c>
      <c r="G2253" s="28">
        <v>657000</v>
      </c>
      <c r="H2253" s="28"/>
      <c r="I2253" s="28"/>
      <c r="J2253" s="28">
        <v>657000</v>
      </c>
      <c r="K2253" s="488">
        <f t="shared" si="389"/>
        <v>28776.6</v>
      </c>
      <c r="L2253" s="469">
        <v>628223.4</v>
      </c>
      <c r="M2253" s="28">
        <v>657000</v>
      </c>
      <c r="N2253" s="28">
        <v>657000</v>
      </c>
    </row>
    <row r="2254" spans="1:14" s="20" customFormat="1">
      <c r="A2254" s="253"/>
      <c r="B2254" s="231"/>
      <c r="C2254" s="32" t="s">
        <v>47</v>
      </c>
      <c r="D2254" s="239">
        <v>22020304</v>
      </c>
      <c r="E2254" s="135" t="s">
        <v>851</v>
      </c>
      <c r="F2254" s="136">
        <v>1464000</v>
      </c>
      <c r="G2254" s="28">
        <v>1464000</v>
      </c>
      <c r="H2254" s="28"/>
      <c r="I2254" s="28"/>
      <c r="J2254" s="28">
        <v>1464000</v>
      </c>
      <c r="K2254" s="488">
        <f t="shared" si="389"/>
        <v>64123.199999999997</v>
      </c>
      <c r="L2254" s="469">
        <v>1399876.8</v>
      </c>
      <c r="M2254" s="28">
        <v>1464000</v>
      </c>
      <c r="N2254" s="28">
        <v>1464000</v>
      </c>
    </row>
    <row r="2255" spans="1:14" s="20" customFormat="1">
      <c r="A2255" s="253"/>
      <c r="B2255" s="231"/>
      <c r="C2255" s="32" t="s">
        <v>47</v>
      </c>
      <c r="D2255" s="239">
        <v>22020305</v>
      </c>
      <c r="E2255" s="135" t="s">
        <v>755</v>
      </c>
      <c r="F2255" s="136">
        <v>2468000</v>
      </c>
      <c r="G2255" s="28">
        <v>2468000</v>
      </c>
      <c r="H2255" s="28"/>
      <c r="I2255" s="28"/>
      <c r="J2255" s="28">
        <v>2468000</v>
      </c>
      <c r="K2255" s="488">
        <f t="shared" si="389"/>
        <v>108098.4</v>
      </c>
      <c r="L2255" s="469">
        <v>2359901.6</v>
      </c>
      <c r="M2255" s="28">
        <v>2468000</v>
      </c>
      <c r="N2255" s="28">
        <v>2468000</v>
      </c>
    </row>
    <row r="2256" spans="1:14" s="20" customFormat="1">
      <c r="A2256" s="253"/>
      <c r="B2256" s="231"/>
      <c r="C2256" s="32" t="s">
        <v>47</v>
      </c>
      <c r="D2256" s="239">
        <v>22020306</v>
      </c>
      <c r="E2256" s="135" t="s">
        <v>765</v>
      </c>
      <c r="F2256" s="136">
        <v>720000</v>
      </c>
      <c r="G2256" s="28">
        <v>720000</v>
      </c>
      <c r="H2256" s="28"/>
      <c r="I2256" s="28"/>
      <c r="J2256" s="28">
        <v>720000</v>
      </c>
      <c r="K2256" s="488">
        <f t="shared" si="389"/>
        <v>31536</v>
      </c>
      <c r="L2256" s="469">
        <v>688464</v>
      </c>
      <c r="M2256" s="28">
        <v>720000</v>
      </c>
      <c r="N2256" s="28">
        <v>720000</v>
      </c>
    </row>
    <row r="2257" spans="1:14" s="20" customFormat="1">
      <c r="A2257" s="253"/>
      <c r="B2257" s="231"/>
      <c r="C2257" s="32" t="s">
        <v>47</v>
      </c>
      <c r="D2257" s="239">
        <v>22020307</v>
      </c>
      <c r="E2257" s="135" t="s">
        <v>822</v>
      </c>
      <c r="F2257" s="136">
        <v>1421600</v>
      </c>
      <c r="G2257" s="28">
        <v>1421600</v>
      </c>
      <c r="H2257" s="28"/>
      <c r="I2257" s="28"/>
      <c r="J2257" s="28">
        <v>1421600</v>
      </c>
      <c r="K2257" s="488">
        <f t="shared" si="389"/>
        <v>62266.079999999994</v>
      </c>
      <c r="L2257" s="469">
        <v>1359333.9200000002</v>
      </c>
      <c r="M2257" s="28">
        <v>1421600</v>
      </c>
      <c r="N2257" s="28">
        <v>1421600</v>
      </c>
    </row>
    <row r="2258" spans="1:14" s="20" customFormat="1">
      <c r="A2258" s="253"/>
      <c r="B2258" s="231"/>
      <c r="C2258" s="32" t="s">
        <v>47</v>
      </c>
      <c r="D2258" s="239">
        <v>22020309</v>
      </c>
      <c r="E2258" s="135" t="s">
        <v>739</v>
      </c>
      <c r="F2258" s="136">
        <v>1065000</v>
      </c>
      <c r="G2258" s="28">
        <v>1065000</v>
      </c>
      <c r="H2258" s="28"/>
      <c r="I2258" s="28"/>
      <c r="J2258" s="28">
        <v>1065000</v>
      </c>
      <c r="K2258" s="488">
        <f t="shared" si="389"/>
        <v>46647</v>
      </c>
      <c r="L2258" s="469">
        <v>1018353</v>
      </c>
      <c r="M2258" s="28">
        <v>1065000</v>
      </c>
      <c r="N2258" s="28">
        <v>1065000</v>
      </c>
    </row>
    <row r="2259" spans="1:14" s="20" customFormat="1">
      <c r="A2259" s="253"/>
      <c r="B2259" s="231"/>
      <c r="C2259" s="32" t="s">
        <v>47</v>
      </c>
      <c r="D2259" s="239">
        <v>22020310</v>
      </c>
      <c r="E2259" s="135" t="s">
        <v>819</v>
      </c>
      <c r="F2259" s="136">
        <f>3435000+3000000</f>
        <v>6435000</v>
      </c>
      <c r="G2259" s="28">
        <f>3435000+3000000</f>
        <v>6435000</v>
      </c>
      <c r="H2259" s="28"/>
      <c r="I2259" s="28"/>
      <c r="J2259" s="28">
        <v>6435000</v>
      </c>
      <c r="K2259" s="488">
        <f t="shared" si="389"/>
        <v>281853</v>
      </c>
      <c r="L2259" s="469">
        <v>6153147</v>
      </c>
      <c r="M2259" s="28">
        <v>3435000</v>
      </c>
      <c r="N2259" s="28">
        <v>3435000</v>
      </c>
    </row>
    <row r="2260" spans="1:14" s="20" customFormat="1">
      <c r="A2260" s="253"/>
      <c r="B2260" s="231"/>
      <c r="C2260" s="32" t="s">
        <v>47</v>
      </c>
      <c r="D2260" s="239">
        <v>22020312</v>
      </c>
      <c r="E2260" s="135" t="s">
        <v>797</v>
      </c>
      <c r="F2260" s="136">
        <v>447200</v>
      </c>
      <c r="G2260" s="28">
        <v>447200</v>
      </c>
      <c r="H2260" s="28"/>
      <c r="I2260" s="28"/>
      <c r="J2260" s="28">
        <v>447200</v>
      </c>
      <c r="K2260" s="488">
        <f t="shared" si="389"/>
        <v>19587.36</v>
      </c>
      <c r="L2260" s="469">
        <v>427612.64</v>
      </c>
      <c r="M2260" s="28">
        <v>447200</v>
      </c>
      <c r="N2260" s="28">
        <v>447200</v>
      </c>
    </row>
    <row r="2261" spans="1:14" s="20" customFormat="1">
      <c r="A2261" s="253"/>
      <c r="B2261" s="231"/>
      <c r="C2261" s="32" t="s">
        <v>47</v>
      </c>
      <c r="D2261" s="239">
        <v>22020315</v>
      </c>
      <c r="E2261" s="135" t="s">
        <v>740</v>
      </c>
      <c r="F2261" s="136">
        <v>1538500</v>
      </c>
      <c r="G2261" s="28">
        <v>1538500</v>
      </c>
      <c r="H2261" s="28"/>
      <c r="I2261" s="28"/>
      <c r="J2261" s="28">
        <v>1538500</v>
      </c>
      <c r="K2261" s="488">
        <f t="shared" si="389"/>
        <v>67386.3</v>
      </c>
      <c r="L2261" s="469">
        <v>1471113.7000000002</v>
      </c>
      <c r="M2261" s="28">
        <v>1538500</v>
      </c>
      <c r="N2261" s="28">
        <v>1538500</v>
      </c>
    </row>
    <row r="2262" spans="1:14" s="20" customFormat="1">
      <c r="A2262" s="253"/>
      <c r="B2262" s="231"/>
      <c r="C2262" s="32" t="s">
        <v>47</v>
      </c>
      <c r="D2262" s="239">
        <v>22020401</v>
      </c>
      <c r="E2262" s="135" t="s">
        <v>741</v>
      </c>
      <c r="F2262" s="136">
        <v>1440000</v>
      </c>
      <c r="G2262" s="28">
        <v>1440000</v>
      </c>
      <c r="H2262" s="28"/>
      <c r="I2262" s="28"/>
      <c r="J2262" s="28">
        <v>1440000</v>
      </c>
      <c r="K2262" s="488">
        <f t="shared" si="389"/>
        <v>63072</v>
      </c>
      <c r="L2262" s="469">
        <v>1376928</v>
      </c>
      <c r="M2262" s="28">
        <v>1440000</v>
      </c>
      <c r="N2262" s="28">
        <v>1440000</v>
      </c>
    </row>
    <row r="2263" spans="1:14" s="20" customFormat="1">
      <c r="A2263" s="253"/>
      <c r="B2263" s="231"/>
      <c r="C2263" s="32" t="s">
        <v>47</v>
      </c>
      <c r="D2263" s="239">
        <v>22020402</v>
      </c>
      <c r="E2263" s="135" t="s">
        <v>757</v>
      </c>
      <c r="F2263" s="136">
        <v>1200000</v>
      </c>
      <c r="G2263" s="28">
        <v>1200000</v>
      </c>
      <c r="H2263" s="28"/>
      <c r="I2263" s="28"/>
      <c r="J2263" s="28">
        <v>1200000</v>
      </c>
      <c r="K2263" s="488">
        <f t="shared" si="389"/>
        <v>52560</v>
      </c>
      <c r="L2263" s="469">
        <v>1147440</v>
      </c>
      <c r="M2263" s="28">
        <v>1200000</v>
      </c>
      <c r="N2263" s="28">
        <v>1200000</v>
      </c>
    </row>
    <row r="2264" spans="1:14" s="20" customFormat="1">
      <c r="A2264" s="253"/>
      <c r="B2264" s="231"/>
      <c r="C2264" s="32" t="s">
        <v>47</v>
      </c>
      <c r="D2264" s="239">
        <v>22020403</v>
      </c>
      <c r="E2264" s="135" t="s">
        <v>781</v>
      </c>
      <c r="F2264" s="136">
        <v>1000000</v>
      </c>
      <c r="G2264" s="28">
        <v>1000000</v>
      </c>
      <c r="H2264" s="28"/>
      <c r="I2264" s="28"/>
      <c r="J2264" s="28">
        <v>1000000</v>
      </c>
      <c r="K2264" s="488">
        <f t="shared" si="389"/>
        <v>43800</v>
      </c>
      <c r="L2264" s="469">
        <v>956200</v>
      </c>
      <c r="M2264" s="28">
        <v>1000000</v>
      </c>
      <c r="N2264" s="28">
        <v>1000000</v>
      </c>
    </row>
    <row r="2265" spans="1:14" s="20" customFormat="1">
      <c r="A2265" s="253"/>
      <c r="B2265" s="231"/>
      <c r="C2265" s="32" t="s">
        <v>47</v>
      </c>
      <c r="D2265" s="239">
        <v>22020404</v>
      </c>
      <c r="E2265" s="135" t="s">
        <v>742</v>
      </c>
      <c r="F2265" s="136">
        <v>900000</v>
      </c>
      <c r="G2265" s="28">
        <v>900000</v>
      </c>
      <c r="H2265" s="28"/>
      <c r="I2265" s="28"/>
      <c r="J2265" s="28">
        <v>900000</v>
      </c>
      <c r="K2265" s="488">
        <f t="shared" si="389"/>
        <v>39420</v>
      </c>
      <c r="L2265" s="469">
        <v>860580</v>
      </c>
      <c r="M2265" s="28">
        <v>900000</v>
      </c>
      <c r="N2265" s="28">
        <v>900000</v>
      </c>
    </row>
    <row r="2266" spans="1:14" s="20" customFormat="1">
      <c r="A2266" s="253"/>
      <c r="B2266" s="231"/>
      <c r="C2266" s="32" t="s">
        <v>47</v>
      </c>
      <c r="D2266" s="239">
        <v>22020405</v>
      </c>
      <c r="E2266" s="135" t="s">
        <v>743</v>
      </c>
      <c r="F2266" s="136">
        <v>1200000</v>
      </c>
      <c r="G2266" s="28">
        <v>1200000</v>
      </c>
      <c r="H2266" s="28"/>
      <c r="I2266" s="28"/>
      <c r="J2266" s="28">
        <v>1200000</v>
      </c>
      <c r="K2266" s="488">
        <f t="shared" si="389"/>
        <v>52560</v>
      </c>
      <c r="L2266" s="469">
        <v>1147440</v>
      </c>
      <c r="M2266" s="28">
        <v>1200000</v>
      </c>
      <c r="N2266" s="28">
        <v>1200000</v>
      </c>
    </row>
    <row r="2267" spans="1:14" s="20" customFormat="1">
      <c r="A2267" s="253"/>
      <c r="B2267" s="231"/>
      <c r="C2267" s="32" t="s">
        <v>47</v>
      </c>
      <c r="D2267" s="239">
        <v>22020406</v>
      </c>
      <c r="E2267" s="135" t="s">
        <v>758</v>
      </c>
      <c r="F2267" s="136">
        <v>200000</v>
      </c>
      <c r="G2267" s="28">
        <v>200000</v>
      </c>
      <c r="H2267" s="28"/>
      <c r="I2267" s="28"/>
      <c r="J2267" s="28">
        <v>200000</v>
      </c>
      <c r="K2267" s="488">
        <f t="shared" si="389"/>
        <v>8760</v>
      </c>
      <c r="L2267" s="469">
        <v>191240</v>
      </c>
      <c r="M2267" s="28">
        <v>200000</v>
      </c>
      <c r="N2267" s="28">
        <v>200000</v>
      </c>
    </row>
    <row r="2268" spans="1:14" s="20" customFormat="1">
      <c r="A2268" s="253"/>
      <c r="B2268" s="231"/>
      <c r="C2268" s="32" t="s">
        <v>47</v>
      </c>
      <c r="D2268" s="239">
        <v>22020414</v>
      </c>
      <c r="E2268" s="135" t="s">
        <v>949</v>
      </c>
      <c r="F2268" s="136">
        <v>360000</v>
      </c>
      <c r="G2268" s="28">
        <v>360000</v>
      </c>
      <c r="H2268" s="28"/>
      <c r="I2268" s="28"/>
      <c r="J2268" s="28">
        <v>360000</v>
      </c>
      <c r="K2268" s="488">
        <f t="shared" si="389"/>
        <v>15768</v>
      </c>
      <c r="L2268" s="469">
        <v>344232</v>
      </c>
      <c r="M2268" s="28">
        <v>360000</v>
      </c>
      <c r="N2268" s="28">
        <v>360000</v>
      </c>
    </row>
    <row r="2269" spans="1:14" s="20" customFormat="1">
      <c r="A2269" s="253"/>
      <c r="B2269" s="231"/>
      <c r="C2269" s="32" t="s">
        <v>47</v>
      </c>
      <c r="D2269" s="239">
        <v>22020414</v>
      </c>
      <c r="E2269" s="135" t="s">
        <v>877</v>
      </c>
      <c r="F2269" s="136">
        <v>880000</v>
      </c>
      <c r="G2269" s="28">
        <v>880000</v>
      </c>
      <c r="H2269" s="28"/>
      <c r="I2269" s="28"/>
      <c r="J2269" s="28">
        <v>880000</v>
      </c>
      <c r="K2269" s="488">
        <f t="shared" si="389"/>
        <v>38544</v>
      </c>
      <c r="L2269" s="469">
        <v>841456</v>
      </c>
      <c r="M2269" s="28">
        <v>880000</v>
      </c>
      <c r="N2269" s="28">
        <v>880000</v>
      </c>
    </row>
    <row r="2270" spans="1:14" s="20" customFormat="1">
      <c r="A2270" s="253"/>
      <c r="B2270" s="231"/>
      <c r="C2270" s="32" t="s">
        <v>47</v>
      </c>
      <c r="D2270" s="239">
        <v>22020417</v>
      </c>
      <c r="E2270" s="135" t="s">
        <v>997</v>
      </c>
      <c r="F2270" s="136">
        <v>348000</v>
      </c>
      <c r="G2270" s="28">
        <v>348000</v>
      </c>
      <c r="H2270" s="28"/>
      <c r="I2270" s="28"/>
      <c r="J2270" s="28">
        <v>348000</v>
      </c>
      <c r="K2270" s="488">
        <f t="shared" si="389"/>
        <v>15242.4</v>
      </c>
      <c r="L2270" s="469">
        <v>332757.60000000003</v>
      </c>
      <c r="M2270" s="28">
        <v>348000</v>
      </c>
      <c r="N2270" s="28">
        <v>348000</v>
      </c>
    </row>
    <row r="2271" spans="1:14" s="20" customFormat="1">
      <c r="A2271" s="253"/>
      <c r="B2271" s="231"/>
      <c r="C2271" s="32" t="s">
        <v>47</v>
      </c>
      <c r="D2271" s="239">
        <v>22020501</v>
      </c>
      <c r="E2271" s="135" t="s">
        <v>929</v>
      </c>
      <c r="F2271" s="136">
        <v>320000</v>
      </c>
      <c r="G2271" s="28">
        <v>320000</v>
      </c>
      <c r="H2271" s="28"/>
      <c r="I2271" s="28"/>
      <c r="J2271" s="28">
        <v>320000</v>
      </c>
      <c r="K2271" s="488">
        <f t="shared" si="389"/>
        <v>14016</v>
      </c>
      <c r="L2271" s="469">
        <v>305984</v>
      </c>
      <c r="M2271" s="28">
        <v>320000</v>
      </c>
      <c r="N2271" s="28">
        <v>320000</v>
      </c>
    </row>
    <row r="2272" spans="1:14" s="20" customFormat="1">
      <c r="A2272" s="253"/>
      <c r="B2272" s="231"/>
      <c r="C2272" s="32" t="s">
        <v>47</v>
      </c>
      <c r="D2272" s="239">
        <v>22020504</v>
      </c>
      <c r="E2272" s="135" t="s">
        <v>897</v>
      </c>
      <c r="F2272" s="136">
        <v>680000</v>
      </c>
      <c r="G2272" s="28">
        <v>680000</v>
      </c>
      <c r="H2272" s="28"/>
      <c r="I2272" s="28"/>
      <c r="J2272" s="28">
        <v>680000</v>
      </c>
      <c r="K2272" s="488">
        <f t="shared" si="389"/>
        <v>29784</v>
      </c>
      <c r="L2272" s="469">
        <v>650216</v>
      </c>
      <c r="M2272" s="28">
        <v>680000</v>
      </c>
      <c r="N2272" s="28">
        <v>680000</v>
      </c>
    </row>
    <row r="2273" spans="1:14" s="20" customFormat="1">
      <c r="A2273" s="253"/>
      <c r="B2273" s="231"/>
      <c r="C2273" s="32" t="s">
        <v>47</v>
      </c>
      <c r="D2273" s="239">
        <v>22020601</v>
      </c>
      <c r="E2273" s="135" t="s">
        <v>766</v>
      </c>
      <c r="F2273" s="136">
        <v>300000</v>
      </c>
      <c r="G2273" s="28">
        <v>300000</v>
      </c>
      <c r="H2273" s="28"/>
      <c r="I2273" s="28"/>
      <c r="J2273" s="28">
        <v>300000</v>
      </c>
      <c r="K2273" s="488">
        <f t="shared" si="389"/>
        <v>13140</v>
      </c>
      <c r="L2273" s="469">
        <v>286860</v>
      </c>
      <c r="M2273" s="28">
        <v>300000</v>
      </c>
      <c r="N2273" s="28">
        <v>300000</v>
      </c>
    </row>
    <row r="2274" spans="1:14" s="20" customFormat="1">
      <c r="A2274" s="253"/>
      <c r="B2274" s="231"/>
      <c r="C2274" s="32" t="s">
        <v>47</v>
      </c>
      <c r="D2274" s="239">
        <v>22020605</v>
      </c>
      <c r="E2274" s="135" t="s">
        <v>768</v>
      </c>
      <c r="F2274" s="136">
        <v>600000</v>
      </c>
      <c r="G2274" s="28">
        <v>600000</v>
      </c>
      <c r="H2274" s="28"/>
      <c r="I2274" s="28"/>
      <c r="J2274" s="28">
        <v>600000</v>
      </c>
      <c r="K2274" s="488">
        <f t="shared" si="389"/>
        <v>26280</v>
      </c>
      <c r="L2274" s="469">
        <v>573720</v>
      </c>
      <c r="M2274" s="28">
        <v>600000</v>
      </c>
      <c r="N2274" s="28">
        <v>600000</v>
      </c>
    </row>
    <row r="2275" spans="1:14" s="20" customFormat="1">
      <c r="A2275" s="253"/>
      <c r="B2275" s="231"/>
      <c r="C2275" s="32" t="s">
        <v>47</v>
      </c>
      <c r="D2275" s="239">
        <v>22020703</v>
      </c>
      <c r="E2275" s="135" t="s">
        <v>770</v>
      </c>
      <c r="F2275" s="136">
        <v>240000</v>
      </c>
      <c r="G2275" s="28">
        <v>240000</v>
      </c>
      <c r="H2275" s="28"/>
      <c r="I2275" s="28"/>
      <c r="J2275" s="28">
        <v>240000</v>
      </c>
      <c r="K2275" s="488">
        <f t="shared" si="389"/>
        <v>10512</v>
      </c>
      <c r="L2275" s="469">
        <v>229488</v>
      </c>
      <c r="M2275" s="28">
        <v>240000</v>
      </c>
      <c r="N2275" s="28">
        <v>240000</v>
      </c>
    </row>
    <row r="2276" spans="1:14" s="20" customFormat="1">
      <c r="A2276" s="253"/>
      <c r="B2276" s="231"/>
      <c r="C2276" s="32" t="s">
        <v>47</v>
      </c>
      <c r="D2276" s="239">
        <v>22020709</v>
      </c>
      <c r="E2276" s="135" t="s">
        <v>771</v>
      </c>
      <c r="F2276" s="136">
        <v>550000</v>
      </c>
      <c r="G2276" s="28">
        <v>550000</v>
      </c>
      <c r="H2276" s="28"/>
      <c r="I2276" s="28"/>
      <c r="J2276" s="28">
        <v>550000</v>
      </c>
      <c r="K2276" s="488">
        <f t="shared" si="389"/>
        <v>24090</v>
      </c>
      <c r="L2276" s="469">
        <v>525910</v>
      </c>
      <c r="M2276" s="28">
        <v>550000</v>
      </c>
      <c r="N2276" s="28">
        <v>550000</v>
      </c>
    </row>
    <row r="2277" spans="1:14" s="20" customFormat="1">
      <c r="A2277" s="253"/>
      <c r="B2277" s="231"/>
      <c r="C2277" s="32" t="s">
        <v>47</v>
      </c>
      <c r="D2277" s="239">
        <v>22020801</v>
      </c>
      <c r="E2277" s="135" t="s">
        <v>747</v>
      </c>
      <c r="F2277" s="136">
        <v>1440000</v>
      </c>
      <c r="G2277" s="28">
        <v>1440000</v>
      </c>
      <c r="H2277" s="28"/>
      <c r="I2277" s="28"/>
      <c r="J2277" s="28">
        <v>1440000</v>
      </c>
      <c r="K2277" s="488">
        <f t="shared" si="389"/>
        <v>63072</v>
      </c>
      <c r="L2277" s="469">
        <v>1376928</v>
      </c>
      <c r="M2277" s="28">
        <v>1440000</v>
      </c>
      <c r="N2277" s="28">
        <v>1440000</v>
      </c>
    </row>
    <row r="2278" spans="1:14" s="20" customFormat="1">
      <c r="A2278" s="253"/>
      <c r="B2278" s="231"/>
      <c r="C2278" s="32" t="s">
        <v>47</v>
      </c>
      <c r="D2278" s="239">
        <v>22020803</v>
      </c>
      <c r="E2278" s="135" t="s">
        <v>748</v>
      </c>
      <c r="F2278" s="136">
        <v>1159200</v>
      </c>
      <c r="G2278" s="28">
        <v>1159200</v>
      </c>
      <c r="H2278" s="28"/>
      <c r="I2278" s="28"/>
      <c r="J2278" s="28">
        <v>1159200</v>
      </c>
      <c r="K2278" s="488">
        <f t="shared" si="389"/>
        <v>50772.959999999999</v>
      </c>
      <c r="L2278" s="469">
        <v>1108427.04</v>
      </c>
      <c r="M2278" s="28">
        <v>1159200</v>
      </c>
      <c r="N2278" s="28">
        <v>1159200</v>
      </c>
    </row>
    <row r="2279" spans="1:14" s="20" customFormat="1">
      <c r="A2279" s="253"/>
      <c r="B2279" s="231"/>
      <c r="C2279" s="32" t="s">
        <v>47</v>
      </c>
      <c r="D2279" s="239">
        <v>22020901</v>
      </c>
      <c r="E2279" s="135" t="s">
        <v>749</v>
      </c>
      <c r="F2279" s="136">
        <v>60000</v>
      </c>
      <c r="G2279" s="28">
        <v>60000</v>
      </c>
      <c r="H2279" s="28"/>
      <c r="I2279" s="28"/>
      <c r="J2279" s="28">
        <v>60000</v>
      </c>
      <c r="K2279" s="488">
        <f t="shared" si="389"/>
        <v>2628</v>
      </c>
      <c r="L2279" s="469">
        <v>57372</v>
      </c>
      <c r="M2279" s="28">
        <v>60000</v>
      </c>
      <c r="N2279" s="28">
        <v>60000</v>
      </c>
    </row>
    <row r="2280" spans="1:14" s="20" customFormat="1">
      <c r="A2280" s="253"/>
      <c r="B2280" s="231"/>
      <c r="C2280" s="32" t="s">
        <v>47</v>
      </c>
      <c r="D2280" s="239">
        <v>22021001</v>
      </c>
      <c r="E2280" s="135" t="s">
        <v>772</v>
      </c>
      <c r="F2280" s="136">
        <v>1520800</v>
      </c>
      <c r="G2280" s="28">
        <v>1520800</v>
      </c>
      <c r="H2280" s="28"/>
      <c r="I2280" s="28"/>
      <c r="J2280" s="28">
        <v>1520800</v>
      </c>
      <c r="K2280" s="488">
        <f t="shared" si="389"/>
        <v>66611.039999999994</v>
      </c>
      <c r="L2280" s="469">
        <v>1454188.96</v>
      </c>
      <c r="M2280" s="28">
        <v>1520800</v>
      </c>
      <c r="N2280" s="28">
        <v>1520800</v>
      </c>
    </row>
    <row r="2281" spans="1:14" s="20" customFormat="1">
      <c r="A2281" s="253"/>
      <c r="B2281" s="231"/>
      <c r="C2281" s="32" t="s">
        <v>47</v>
      </c>
      <c r="D2281" s="239">
        <v>22021002</v>
      </c>
      <c r="E2281" s="135" t="s">
        <v>805</v>
      </c>
      <c r="F2281" s="136">
        <v>2480000</v>
      </c>
      <c r="G2281" s="28">
        <v>2480000</v>
      </c>
      <c r="H2281" s="28"/>
      <c r="I2281" s="28"/>
      <c r="J2281" s="28">
        <v>2480000</v>
      </c>
      <c r="K2281" s="488">
        <f t="shared" si="389"/>
        <v>108624</v>
      </c>
      <c r="L2281" s="469">
        <v>2371376</v>
      </c>
      <c r="M2281" s="28">
        <v>2480000</v>
      </c>
      <c r="N2281" s="28">
        <v>2480000</v>
      </c>
    </row>
    <row r="2282" spans="1:14" s="20" customFormat="1">
      <c r="A2282" s="253"/>
      <c r="B2282" s="231"/>
      <c r="C2282" s="32" t="s">
        <v>47</v>
      </c>
      <c r="D2282" s="239">
        <v>22021005</v>
      </c>
      <c r="E2282" s="135" t="s">
        <v>971</v>
      </c>
      <c r="F2282" s="136">
        <v>5346000</v>
      </c>
      <c r="G2282" s="28">
        <v>5346000</v>
      </c>
      <c r="H2282" s="28"/>
      <c r="I2282" s="28"/>
      <c r="J2282" s="28">
        <v>5346000</v>
      </c>
      <c r="K2282" s="488">
        <f t="shared" si="389"/>
        <v>234154.8</v>
      </c>
      <c r="L2282" s="469">
        <v>5111845.2</v>
      </c>
      <c r="M2282" s="28">
        <v>5346000</v>
      </c>
      <c r="N2282" s="28">
        <v>5346000</v>
      </c>
    </row>
    <row r="2283" spans="1:14" s="20" customFormat="1">
      <c r="A2283" s="253"/>
      <c r="B2283" s="231"/>
      <c r="C2283" s="32" t="s">
        <v>47</v>
      </c>
      <c r="D2283" s="239">
        <v>22021009</v>
      </c>
      <c r="E2283" s="135" t="s">
        <v>873</v>
      </c>
      <c r="F2283" s="136">
        <v>300000</v>
      </c>
      <c r="G2283" s="28">
        <v>300000</v>
      </c>
      <c r="H2283" s="28"/>
      <c r="I2283" s="28"/>
      <c r="J2283" s="28">
        <v>300000</v>
      </c>
      <c r="K2283" s="488">
        <f t="shared" si="389"/>
        <v>13140</v>
      </c>
      <c r="L2283" s="469">
        <v>286860</v>
      </c>
      <c r="M2283" s="28">
        <v>300000</v>
      </c>
      <c r="N2283" s="28">
        <v>300000</v>
      </c>
    </row>
    <row r="2284" spans="1:14" s="20" customFormat="1">
      <c r="A2284" s="253"/>
      <c r="B2284" s="231"/>
      <c r="C2284" s="32" t="s">
        <v>47</v>
      </c>
      <c r="D2284" s="239">
        <v>22021014</v>
      </c>
      <c r="E2284" s="135" t="s">
        <v>800</v>
      </c>
      <c r="F2284" s="136">
        <v>200000</v>
      </c>
      <c r="G2284" s="28">
        <v>200000</v>
      </c>
      <c r="H2284" s="28"/>
      <c r="I2284" s="28"/>
      <c r="J2284" s="28">
        <v>200000</v>
      </c>
      <c r="K2284" s="488">
        <f t="shared" si="389"/>
        <v>8760</v>
      </c>
      <c r="L2284" s="469">
        <v>191240</v>
      </c>
      <c r="M2284" s="28">
        <v>200000</v>
      </c>
      <c r="N2284" s="28">
        <v>200000</v>
      </c>
    </row>
    <row r="2285" spans="1:14" s="20" customFormat="1">
      <c r="A2285" s="253"/>
      <c r="B2285" s="231"/>
      <c r="C2285" s="32" t="s">
        <v>47</v>
      </c>
      <c r="D2285" s="239">
        <v>22021026</v>
      </c>
      <c r="E2285" s="135" t="s">
        <v>751</v>
      </c>
      <c r="F2285" s="136">
        <v>3720000</v>
      </c>
      <c r="G2285" s="28">
        <v>3720000</v>
      </c>
      <c r="H2285" s="28"/>
      <c r="I2285" s="28"/>
      <c r="J2285" s="28">
        <v>3720000</v>
      </c>
      <c r="K2285" s="488">
        <f t="shared" si="389"/>
        <v>162936</v>
      </c>
      <c r="L2285" s="469">
        <v>3557064</v>
      </c>
      <c r="M2285" s="28">
        <v>3720000</v>
      </c>
      <c r="N2285" s="28">
        <v>3720000</v>
      </c>
    </row>
    <row r="2286" spans="1:14" s="20" customFormat="1">
      <c r="A2286" s="253"/>
      <c r="B2286" s="231"/>
      <c r="C2286" s="32" t="s">
        <v>47</v>
      </c>
      <c r="D2286" s="239">
        <v>22021029</v>
      </c>
      <c r="E2286" s="135" t="s">
        <v>867</v>
      </c>
      <c r="F2286" s="136">
        <v>420000</v>
      </c>
      <c r="G2286" s="28">
        <v>420000</v>
      </c>
      <c r="H2286" s="28"/>
      <c r="I2286" s="28"/>
      <c r="J2286" s="28">
        <v>420000</v>
      </c>
      <c r="K2286" s="488">
        <f t="shared" si="389"/>
        <v>18396</v>
      </c>
      <c r="L2286" s="469">
        <v>401604</v>
      </c>
      <c r="M2286" s="28">
        <v>420000</v>
      </c>
      <c r="N2286" s="28">
        <v>420000</v>
      </c>
    </row>
    <row r="2287" spans="1:14" s="20" customFormat="1">
      <c r="A2287" s="253"/>
      <c r="B2287" s="231"/>
      <c r="C2287" s="32" t="s">
        <v>47</v>
      </c>
      <c r="D2287" s="239">
        <v>22021030</v>
      </c>
      <c r="E2287" s="135" t="s">
        <v>1011</v>
      </c>
      <c r="F2287" s="136">
        <v>1500000</v>
      </c>
      <c r="G2287" s="28">
        <v>1500000</v>
      </c>
      <c r="H2287" s="28"/>
      <c r="I2287" s="28"/>
      <c r="J2287" s="28">
        <v>1500000</v>
      </c>
      <c r="K2287" s="488">
        <f t="shared" si="389"/>
        <v>65700</v>
      </c>
      <c r="L2287" s="469">
        <v>1434300</v>
      </c>
      <c r="M2287" s="28">
        <v>1500000</v>
      </c>
      <c r="N2287" s="28">
        <v>1500000</v>
      </c>
    </row>
    <row r="2288" spans="1:14" s="20" customFormat="1">
      <c r="A2288" s="238"/>
      <c r="B2288" s="231"/>
      <c r="C2288" s="30" t="s">
        <v>1837</v>
      </c>
      <c r="D2288" s="23"/>
      <c r="E2288" s="25"/>
      <c r="F2288" s="137">
        <f>SUM(F2243:F2287)</f>
        <v>58694800</v>
      </c>
      <c r="G2288" s="114">
        <f>SUM(G2243:G2287)</f>
        <v>58694800</v>
      </c>
      <c r="H2288" s="114">
        <f t="shared" ref="H2288:M2288" si="390">SUM(H2243:H2287)</f>
        <v>0</v>
      </c>
      <c r="I2288" s="114">
        <f t="shared" si="390"/>
        <v>0</v>
      </c>
      <c r="J2288" s="114">
        <f>SUM(J2243:J2287)</f>
        <v>58694800</v>
      </c>
      <c r="K2288" s="488">
        <f t="shared" si="389"/>
        <v>2570832.2399999998</v>
      </c>
      <c r="L2288" s="468">
        <f>SUM(L2243:L2287)</f>
        <v>56123967.760000013</v>
      </c>
      <c r="M2288" s="114">
        <f t="shared" si="390"/>
        <v>55630800</v>
      </c>
      <c r="N2288" s="114">
        <f>SUM(N2243:N2287)</f>
        <v>55630800</v>
      </c>
    </row>
    <row r="2289" spans="1:14" s="66" customFormat="1" ht="30">
      <c r="A2289" s="238" t="s">
        <v>1070</v>
      </c>
      <c r="B2289" s="231" t="s">
        <v>1830</v>
      </c>
      <c r="C2289" s="30"/>
      <c r="D2289" s="23"/>
      <c r="E2289" s="25"/>
      <c r="F2289" s="137">
        <f>F2288+F2242</f>
        <v>269994550</v>
      </c>
      <c r="G2289" s="114">
        <f>G2288+G2242</f>
        <v>269994550</v>
      </c>
      <c r="H2289" s="114">
        <f t="shared" ref="H2289:M2289" si="391">H2288+H2242</f>
        <v>0</v>
      </c>
      <c r="I2289" s="114">
        <f t="shared" si="391"/>
        <v>0</v>
      </c>
      <c r="J2289" s="114">
        <f>J2288+J2242</f>
        <v>269994550</v>
      </c>
      <c r="K2289" s="490">
        <f>K2288+K2242</f>
        <v>2570832.2399999998</v>
      </c>
      <c r="L2289" s="468">
        <f>L2288+L2242</f>
        <v>267423717.76000002</v>
      </c>
      <c r="M2289" s="114">
        <f t="shared" si="391"/>
        <v>288060525</v>
      </c>
      <c r="N2289" s="114">
        <f>N2288+N2242</f>
        <v>311303497.5</v>
      </c>
    </row>
    <row r="2290" spans="1:14" s="20" customFormat="1" ht="21">
      <c r="A2290" s="252"/>
      <c r="B2290" s="443"/>
      <c r="C2290" s="228"/>
      <c r="D2290" s="229"/>
      <c r="E2290" s="230"/>
      <c r="F2290" s="215"/>
      <c r="G2290" s="296"/>
      <c r="H2290" s="296"/>
      <c r="I2290" s="296"/>
      <c r="J2290" s="28"/>
      <c r="K2290" s="488"/>
      <c r="L2290" s="468"/>
      <c r="M2290" s="296"/>
      <c r="N2290" s="296"/>
    </row>
    <row r="2291" spans="1:14" s="20" customFormat="1" ht="30">
      <c r="A2291" s="245" t="s">
        <v>1072</v>
      </c>
      <c r="B2291" s="231" t="s">
        <v>1071</v>
      </c>
      <c r="C2291" s="139" t="s">
        <v>946</v>
      </c>
      <c r="D2291" s="77">
        <v>21010101</v>
      </c>
      <c r="E2291" s="77" t="s">
        <v>725</v>
      </c>
      <c r="F2291" s="140">
        <v>501623652</v>
      </c>
      <c r="G2291" s="302">
        <v>501623652</v>
      </c>
      <c r="H2291" s="302"/>
      <c r="I2291" s="302"/>
      <c r="J2291" s="28">
        <v>501623652</v>
      </c>
      <c r="K2291" s="488"/>
      <c r="L2291" s="467">
        <v>501623652</v>
      </c>
      <c r="M2291" s="302">
        <f>G2291*10%+G2291</f>
        <v>551786017.20000005</v>
      </c>
      <c r="N2291" s="302">
        <f>M2291*10%+M2291</f>
        <v>606964618.92000008</v>
      </c>
    </row>
    <row r="2292" spans="1:14" s="20" customFormat="1" ht="19.5" customHeight="1">
      <c r="A2292" s="238"/>
      <c r="B2292" s="231"/>
      <c r="C2292" s="30" t="s">
        <v>1842</v>
      </c>
      <c r="D2292" s="23"/>
      <c r="E2292" s="25"/>
      <c r="F2292" s="137">
        <f>SUM(F2291)</f>
        <v>501623652</v>
      </c>
      <c r="G2292" s="114">
        <f>SUM(G2291)</f>
        <v>501623652</v>
      </c>
      <c r="H2292" s="114">
        <f t="shared" ref="H2292:I2292" si="392">SUM(H2291)</f>
        <v>0</v>
      </c>
      <c r="I2292" s="114">
        <f t="shared" si="392"/>
        <v>0</v>
      </c>
      <c r="J2292" s="114">
        <f>SUM(J2291)</f>
        <v>501623652</v>
      </c>
      <c r="K2292" s="490"/>
      <c r="L2292" s="468">
        <f>SUM(L2291)</f>
        <v>501623652</v>
      </c>
      <c r="M2292" s="114">
        <f>SUM(M2291)</f>
        <v>551786017.20000005</v>
      </c>
      <c r="N2292" s="114">
        <f>SUM(N2291)</f>
        <v>606964618.92000008</v>
      </c>
    </row>
    <row r="2293" spans="1:14" s="20" customFormat="1" ht="19.5" customHeight="1">
      <c r="A2293" s="244"/>
      <c r="B2293" s="231"/>
      <c r="C2293" s="139" t="s">
        <v>47</v>
      </c>
      <c r="D2293" s="77">
        <v>22020105</v>
      </c>
      <c r="E2293" s="135" t="s">
        <v>1733</v>
      </c>
      <c r="F2293" s="140">
        <v>1458000</v>
      </c>
      <c r="G2293" s="302">
        <v>1458000</v>
      </c>
      <c r="H2293" s="302"/>
      <c r="I2293" s="302"/>
      <c r="J2293" s="28">
        <v>1458000</v>
      </c>
      <c r="K2293" s="488">
        <f>J2293*4.38%</f>
        <v>63860.4</v>
      </c>
      <c r="L2293" s="469">
        <v>1394139.6</v>
      </c>
      <c r="M2293" s="302">
        <f t="shared" ref="M2293:M2330" si="393">G2293*10%+G2293</f>
        <v>1603800</v>
      </c>
      <c r="N2293" s="302">
        <f>M2293*10%+M2293</f>
        <v>1764180</v>
      </c>
    </row>
    <row r="2294" spans="1:14" s="20" customFormat="1" ht="19.5" customHeight="1">
      <c r="A2294" s="244"/>
      <c r="B2294" s="231"/>
      <c r="C2294" s="139" t="s">
        <v>47</v>
      </c>
      <c r="D2294" s="77">
        <v>22020108</v>
      </c>
      <c r="E2294" s="135" t="s">
        <v>812</v>
      </c>
      <c r="F2294" s="140">
        <v>326000</v>
      </c>
      <c r="G2294" s="302">
        <v>326000</v>
      </c>
      <c r="H2294" s="302"/>
      <c r="I2294" s="302"/>
      <c r="J2294" s="28">
        <v>326000</v>
      </c>
      <c r="K2294" s="488">
        <f t="shared" ref="K2294:K2331" si="394">J2294*4.38%</f>
        <v>14278.8</v>
      </c>
      <c r="L2294" s="469">
        <v>311721.2</v>
      </c>
      <c r="M2294" s="302">
        <f t="shared" si="393"/>
        <v>358600</v>
      </c>
      <c r="N2294" s="302">
        <f t="shared" ref="N2294:N2330" si="395">M2294*10%+M2294</f>
        <v>394460</v>
      </c>
    </row>
    <row r="2295" spans="1:14" s="20" customFormat="1" ht="19.5" customHeight="1">
      <c r="A2295" s="244"/>
      <c r="B2295" s="231"/>
      <c r="C2295" s="139" t="s">
        <v>47</v>
      </c>
      <c r="D2295" s="77">
        <v>22020201</v>
      </c>
      <c r="E2295" s="135" t="s">
        <v>849</v>
      </c>
      <c r="F2295" s="140">
        <v>0</v>
      </c>
      <c r="G2295" s="302">
        <v>300000</v>
      </c>
      <c r="H2295" s="302"/>
      <c r="I2295" s="302"/>
      <c r="J2295" s="28">
        <v>300000</v>
      </c>
      <c r="K2295" s="488">
        <f t="shared" si="394"/>
        <v>13140</v>
      </c>
      <c r="L2295" s="469">
        <v>286860</v>
      </c>
      <c r="M2295" s="302">
        <f t="shared" si="393"/>
        <v>330000</v>
      </c>
      <c r="N2295" s="302">
        <f t="shared" si="395"/>
        <v>363000</v>
      </c>
    </row>
    <row r="2296" spans="1:14" s="20" customFormat="1" ht="19.5" customHeight="1">
      <c r="A2296" s="244"/>
      <c r="B2296" s="231"/>
      <c r="C2296" s="139" t="s">
        <v>47</v>
      </c>
      <c r="D2296" s="77">
        <v>22020203</v>
      </c>
      <c r="E2296" s="135" t="s">
        <v>779</v>
      </c>
      <c r="F2296" s="140">
        <v>3924000</v>
      </c>
      <c r="G2296" s="302">
        <v>1924000</v>
      </c>
      <c r="H2296" s="302"/>
      <c r="I2296" s="302"/>
      <c r="J2296" s="28">
        <v>1924000</v>
      </c>
      <c r="K2296" s="488">
        <f t="shared" si="394"/>
        <v>84271.2</v>
      </c>
      <c r="L2296" s="469">
        <v>1839728.8</v>
      </c>
      <c r="M2296" s="302">
        <f t="shared" si="393"/>
        <v>2116400</v>
      </c>
      <c r="N2296" s="302">
        <f t="shared" si="395"/>
        <v>2328040</v>
      </c>
    </row>
    <row r="2297" spans="1:14" s="20" customFormat="1" ht="19.5" customHeight="1">
      <c r="A2297" s="244"/>
      <c r="B2297" s="231"/>
      <c r="C2297" s="139" t="s">
        <v>47</v>
      </c>
      <c r="D2297" s="77">
        <v>22020209</v>
      </c>
      <c r="E2297" s="135" t="s">
        <v>750</v>
      </c>
      <c r="F2297" s="140">
        <v>150000</v>
      </c>
      <c r="G2297" s="302">
        <v>150000</v>
      </c>
      <c r="H2297" s="302"/>
      <c r="I2297" s="302"/>
      <c r="J2297" s="28">
        <v>150000</v>
      </c>
      <c r="K2297" s="488">
        <f t="shared" si="394"/>
        <v>6570</v>
      </c>
      <c r="L2297" s="469">
        <v>143430</v>
      </c>
      <c r="M2297" s="302">
        <f t="shared" si="393"/>
        <v>165000</v>
      </c>
      <c r="N2297" s="302">
        <f t="shared" si="395"/>
        <v>181500</v>
      </c>
    </row>
    <row r="2298" spans="1:14" s="20" customFormat="1" ht="19.5" customHeight="1">
      <c r="A2298" s="244"/>
      <c r="B2298" s="231"/>
      <c r="C2298" s="139" t="s">
        <v>47</v>
      </c>
      <c r="D2298" s="77">
        <v>22020301</v>
      </c>
      <c r="E2298" s="135" t="s">
        <v>737</v>
      </c>
      <c r="F2298" s="140">
        <v>1268300</v>
      </c>
      <c r="G2298" s="302">
        <v>1268300</v>
      </c>
      <c r="H2298" s="302"/>
      <c r="I2298" s="302"/>
      <c r="J2298" s="28">
        <v>1268300</v>
      </c>
      <c r="K2298" s="488">
        <f t="shared" si="394"/>
        <v>55551.54</v>
      </c>
      <c r="L2298" s="469">
        <v>1212748.46</v>
      </c>
      <c r="M2298" s="302">
        <f t="shared" si="393"/>
        <v>1395130</v>
      </c>
      <c r="N2298" s="302">
        <f t="shared" si="395"/>
        <v>1534643</v>
      </c>
    </row>
    <row r="2299" spans="1:14" s="20" customFormat="1" ht="19.5" customHeight="1">
      <c r="A2299" s="244"/>
      <c r="B2299" s="231"/>
      <c r="C2299" s="139" t="s">
        <v>47</v>
      </c>
      <c r="D2299" s="77">
        <v>22020302</v>
      </c>
      <c r="E2299" s="135" t="s">
        <v>872</v>
      </c>
      <c r="F2299" s="140">
        <v>202000</v>
      </c>
      <c r="G2299" s="302">
        <v>202000</v>
      </c>
      <c r="H2299" s="302"/>
      <c r="I2299" s="302"/>
      <c r="J2299" s="28">
        <v>202000</v>
      </c>
      <c r="K2299" s="488">
        <f t="shared" si="394"/>
        <v>8847.6</v>
      </c>
      <c r="L2299" s="469">
        <v>193152.40000000002</v>
      </c>
      <c r="M2299" s="302">
        <f t="shared" si="393"/>
        <v>222200</v>
      </c>
      <c r="N2299" s="302">
        <f t="shared" si="395"/>
        <v>244420</v>
      </c>
    </row>
    <row r="2300" spans="1:14" s="20" customFormat="1" ht="19.5" customHeight="1">
      <c r="A2300" s="244"/>
      <c r="B2300" s="231"/>
      <c r="C2300" s="139" t="s">
        <v>47</v>
      </c>
      <c r="D2300" s="77">
        <v>22020303</v>
      </c>
      <c r="E2300" s="135" t="s">
        <v>738</v>
      </c>
      <c r="F2300" s="140">
        <v>360000</v>
      </c>
      <c r="G2300" s="302">
        <v>360000</v>
      </c>
      <c r="H2300" s="302"/>
      <c r="I2300" s="302"/>
      <c r="J2300" s="28">
        <v>360000</v>
      </c>
      <c r="K2300" s="488">
        <f t="shared" si="394"/>
        <v>15768</v>
      </c>
      <c r="L2300" s="469">
        <v>344232</v>
      </c>
      <c r="M2300" s="302">
        <f t="shared" si="393"/>
        <v>396000</v>
      </c>
      <c r="N2300" s="302">
        <f t="shared" si="395"/>
        <v>435600</v>
      </c>
    </row>
    <row r="2301" spans="1:14" s="20" customFormat="1" ht="19.5" customHeight="1">
      <c r="A2301" s="244"/>
      <c r="B2301" s="231"/>
      <c r="C2301" s="139" t="s">
        <v>47</v>
      </c>
      <c r="D2301" s="77">
        <v>22020304</v>
      </c>
      <c r="E2301" s="135" t="s">
        <v>851</v>
      </c>
      <c r="F2301" s="140">
        <v>52000</v>
      </c>
      <c r="G2301" s="302">
        <v>52000</v>
      </c>
      <c r="H2301" s="302"/>
      <c r="I2301" s="302"/>
      <c r="J2301" s="28">
        <v>52000</v>
      </c>
      <c r="K2301" s="488">
        <f t="shared" si="394"/>
        <v>2277.6</v>
      </c>
      <c r="L2301" s="469">
        <v>49722.400000000001</v>
      </c>
      <c r="M2301" s="302">
        <f t="shared" si="393"/>
        <v>57200</v>
      </c>
      <c r="N2301" s="302">
        <f t="shared" si="395"/>
        <v>62920</v>
      </c>
    </row>
    <row r="2302" spans="1:14" s="20" customFormat="1" ht="19.5" customHeight="1">
      <c r="A2302" s="244"/>
      <c r="B2302" s="231"/>
      <c r="C2302" s="139" t="s">
        <v>47</v>
      </c>
      <c r="D2302" s="77">
        <v>22020305</v>
      </c>
      <c r="E2302" s="135" t="s">
        <v>755</v>
      </c>
      <c r="F2302" s="140">
        <v>736500</v>
      </c>
      <c r="G2302" s="302">
        <v>736500</v>
      </c>
      <c r="H2302" s="302"/>
      <c r="I2302" s="302"/>
      <c r="J2302" s="28">
        <v>736500</v>
      </c>
      <c r="K2302" s="488">
        <f t="shared" si="394"/>
        <v>32258.7</v>
      </c>
      <c r="L2302" s="469">
        <v>704241.3</v>
      </c>
      <c r="M2302" s="302">
        <f t="shared" si="393"/>
        <v>810150</v>
      </c>
      <c r="N2302" s="302">
        <f t="shared" si="395"/>
        <v>891165</v>
      </c>
    </row>
    <row r="2303" spans="1:14" s="20" customFormat="1" ht="19.5" customHeight="1">
      <c r="A2303" s="244"/>
      <c r="B2303" s="231"/>
      <c r="C2303" s="139" t="s">
        <v>47</v>
      </c>
      <c r="D2303" s="77">
        <v>22020306</v>
      </c>
      <c r="E2303" s="135" t="s">
        <v>765</v>
      </c>
      <c r="F2303" s="140">
        <v>67500</v>
      </c>
      <c r="G2303" s="302">
        <v>67500</v>
      </c>
      <c r="H2303" s="302">
        <v>2422500</v>
      </c>
      <c r="I2303" s="302"/>
      <c r="J2303" s="28">
        <v>2490000</v>
      </c>
      <c r="K2303" s="488">
        <f t="shared" si="394"/>
        <v>109062</v>
      </c>
      <c r="L2303" s="469">
        <v>2380938</v>
      </c>
      <c r="M2303" s="302">
        <f t="shared" si="393"/>
        <v>74250</v>
      </c>
      <c r="N2303" s="302">
        <f t="shared" si="395"/>
        <v>81675</v>
      </c>
    </row>
    <row r="2304" spans="1:14" s="20" customFormat="1" ht="19.5" customHeight="1">
      <c r="A2304" s="244"/>
      <c r="B2304" s="231"/>
      <c r="C2304" s="139" t="s">
        <v>47</v>
      </c>
      <c r="D2304" s="77">
        <v>22020309</v>
      </c>
      <c r="E2304" s="135" t="s">
        <v>739</v>
      </c>
      <c r="F2304" s="140">
        <v>150000</v>
      </c>
      <c r="G2304" s="302">
        <v>150000</v>
      </c>
      <c r="H2304" s="302"/>
      <c r="I2304" s="302"/>
      <c r="J2304" s="28">
        <v>150000</v>
      </c>
      <c r="K2304" s="488">
        <f t="shared" si="394"/>
        <v>6570</v>
      </c>
      <c r="L2304" s="469">
        <v>143430</v>
      </c>
      <c r="M2304" s="302">
        <f t="shared" si="393"/>
        <v>165000</v>
      </c>
      <c r="N2304" s="302">
        <f t="shared" si="395"/>
        <v>181500</v>
      </c>
    </row>
    <row r="2305" spans="1:14" s="20" customFormat="1" ht="19.5" customHeight="1">
      <c r="A2305" s="244"/>
      <c r="B2305" s="231"/>
      <c r="C2305" s="139" t="s">
        <v>47</v>
      </c>
      <c r="D2305" s="77">
        <v>22020310</v>
      </c>
      <c r="E2305" s="135" t="s">
        <v>819</v>
      </c>
      <c r="F2305" s="140">
        <v>4260250</v>
      </c>
      <c r="G2305" s="302">
        <v>4260250</v>
      </c>
      <c r="H2305" s="302"/>
      <c r="I2305" s="302"/>
      <c r="J2305" s="28">
        <v>4260250</v>
      </c>
      <c r="K2305" s="488">
        <f t="shared" si="394"/>
        <v>186598.94999999998</v>
      </c>
      <c r="L2305" s="469">
        <v>4073651.0500000003</v>
      </c>
      <c r="M2305" s="302">
        <f t="shared" si="393"/>
        <v>4686275</v>
      </c>
      <c r="N2305" s="302">
        <f t="shared" si="395"/>
        <v>5154902.5</v>
      </c>
    </row>
    <row r="2306" spans="1:14" s="20" customFormat="1" ht="19.5" customHeight="1">
      <c r="A2306" s="244"/>
      <c r="B2306" s="231"/>
      <c r="C2306" s="139" t="s">
        <v>47</v>
      </c>
      <c r="D2306" s="77">
        <v>22020312</v>
      </c>
      <c r="E2306" s="135" t="s">
        <v>797</v>
      </c>
      <c r="F2306" s="140">
        <v>80000</v>
      </c>
      <c r="G2306" s="302">
        <v>80000</v>
      </c>
      <c r="H2306" s="302"/>
      <c r="I2306" s="302"/>
      <c r="J2306" s="28">
        <v>80000</v>
      </c>
      <c r="K2306" s="488">
        <f t="shared" si="394"/>
        <v>3504</v>
      </c>
      <c r="L2306" s="469">
        <v>76496</v>
      </c>
      <c r="M2306" s="302">
        <f t="shared" si="393"/>
        <v>88000</v>
      </c>
      <c r="N2306" s="302">
        <f t="shared" si="395"/>
        <v>96800</v>
      </c>
    </row>
    <row r="2307" spans="1:14" s="20" customFormat="1" ht="19.5" customHeight="1">
      <c r="A2307" s="244"/>
      <c r="B2307" s="231"/>
      <c r="C2307" s="139" t="s">
        <v>47</v>
      </c>
      <c r="D2307" s="77">
        <v>22020402</v>
      </c>
      <c r="E2307" s="135" t="s">
        <v>757</v>
      </c>
      <c r="F2307" s="140">
        <v>260000</v>
      </c>
      <c r="G2307" s="302">
        <v>260000</v>
      </c>
      <c r="H2307" s="302"/>
      <c r="I2307" s="302"/>
      <c r="J2307" s="28">
        <v>260000</v>
      </c>
      <c r="K2307" s="488">
        <f t="shared" si="394"/>
        <v>11388</v>
      </c>
      <c r="L2307" s="469">
        <v>248612</v>
      </c>
      <c r="M2307" s="302">
        <f t="shared" si="393"/>
        <v>286000</v>
      </c>
      <c r="N2307" s="302">
        <f t="shared" si="395"/>
        <v>314600</v>
      </c>
    </row>
    <row r="2308" spans="1:14" s="20" customFormat="1" ht="19.5" customHeight="1">
      <c r="A2308" s="244"/>
      <c r="B2308" s="231"/>
      <c r="C2308" s="139" t="s">
        <v>47</v>
      </c>
      <c r="D2308" s="77">
        <v>22020403</v>
      </c>
      <c r="E2308" s="135" t="s">
        <v>781</v>
      </c>
      <c r="F2308" s="140">
        <v>387000</v>
      </c>
      <c r="G2308" s="302">
        <v>387000</v>
      </c>
      <c r="H2308" s="302"/>
      <c r="I2308" s="302"/>
      <c r="J2308" s="28">
        <v>387000</v>
      </c>
      <c r="K2308" s="488">
        <f t="shared" si="394"/>
        <v>16950.599999999999</v>
      </c>
      <c r="L2308" s="469">
        <v>370049.4</v>
      </c>
      <c r="M2308" s="302">
        <f t="shared" si="393"/>
        <v>425700</v>
      </c>
      <c r="N2308" s="302">
        <f t="shared" si="395"/>
        <v>468270</v>
      </c>
    </row>
    <row r="2309" spans="1:14" s="20" customFormat="1" ht="19.5" customHeight="1">
      <c r="A2309" s="244"/>
      <c r="B2309" s="231"/>
      <c r="C2309" s="139" t="s">
        <v>47</v>
      </c>
      <c r="D2309" s="77">
        <v>22020404</v>
      </c>
      <c r="E2309" s="135" t="s">
        <v>742</v>
      </c>
      <c r="F2309" s="140">
        <v>470000</v>
      </c>
      <c r="G2309" s="302">
        <v>470000</v>
      </c>
      <c r="H2309" s="302"/>
      <c r="I2309" s="302"/>
      <c r="J2309" s="28">
        <v>470000</v>
      </c>
      <c r="K2309" s="488">
        <f t="shared" si="394"/>
        <v>20586</v>
      </c>
      <c r="L2309" s="469">
        <v>449414</v>
      </c>
      <c r="M2309" s="302">
        <f t="shared" si="393"/>
        <v>517000</v>
      </c>
      <c r="N2309" s="302">
        <f t="shared" si="395"/>
        <v>568700</v>
      </c>
    </row>
    <row r="2310" spans="1:14" s="20" customFormat="1" ht="19.5" customHeight="1">
      <c r="A2310" s="244"/>
      <c r="B2310" s="231"/>
      <c r="C2310" s="139" t="s">
        <v>47</v>
      </c>
      <c r="D2310" s="77">
        <v>22020405</v>
      </c>
      <c r="E2310" s="135" t="s">
        <v>743</v>
      </c>
      <c r="F2310" s="140">
        <v>896000</v>
      </c>
      <c r="G2310" s="302">
        <v>896000</v>
      </c>
      <c r="H2310" s="302"/>
      <c r="I2310" s="302"/>
      <c r="J2310" s="28">
        <v>896000</v>
      </c>
      <c r="K2310" s="488">
        <f t="shared" si="394"/>
        <v>39244.799999999996</v>
      </c>
      <c r="L2310" s="469">
        <v>856755.20000000007</v>
      </c>
      <c r="M2310" s="302">
        <f t="shared" si="393"/>
        <v>985600</v>
      </c>
      <c r="N2310" s="302">
        <f t="shared" si="395"/>
        <v>1084160</v>
      </c>
    </row>
    <row r="2311" spans="1:14" s="20" customFormat="1" ht="19.5" customHeight="1">
      <c r="A2311" s="244"/>
      <c r="B2311" s="231"/>
      <c r="C2311" s="139" t="s">
        <v>47</v>
      </c>
      <c r="D2311" s="77">
        <v>22020416</v>
      </c>
      <c r="E2311" s="135" t="s">
        <v>782</v>
      </c>
      <c r="F2311" s="140">
        <v>16100000</v>
      </c>
      <c r="G2311" s="302">
        <v>10100000</v>
      </c>
      <c r="H2311" s="302"/>
      <c r="I2311" s="302"/>
      <c r="J2311" s="28">
        <v>10100000</v>
      </c>
      <c r="K2311" s="488">
        <f t="shared" si="394"/>
        <v>442380</v>
      </c>
      <c r="L2311" s="469">
        <v>9657620</v>
      </c>
      <c r="M2311" s="302">
        <f t="shared" si="393"/>
        <v>11110000</v>
      </c>
      <c r="N2311" s="302">
        <f t="shared" si="395"/>
        <v>12221000</v>
      </c>
    </row>
    <row r="2312" spans="1:14" s="20" customFormat="1" ht="19.5" customHeight="1">
      <c r="A2312" s="244"/>
      <c r="B2312" s="231"/>
      <c r="C2312" s="139" t="s">
        <v>47</v>
      </c>
      <c r="D2312" s="77">
        <v>22020417</v>
      </c>
      <c r="E2312" s="135" t="s">
        <v>997</v>
      </c>
      <c r="F2312" s="140">
        <v>130000</v>
      </c>
      <c r="G2312" s="302">
        <v>130000</v>
      </c>
      <c r="H2312" s="302"/>
      <c r="I2312" s="302"/>
      <c r="J2312" s="28">
        <v>130000</v>
      </c>
      <c r="K2312" s="488">
        <f t="shared" si="394"/>
        <v>5694</v>
      </c>
      <c r="L2312" s="469">
        <v>124306</v>
      </c>
      <c r="M2312" s="302">
        <f t="shared" si="393"/>
        <v>143000</v>
      </c>
      <c r="N2312" s="302">
        <f t="shared" si="395"/>
        <v>157300</v>
      </c>
    </row>
    <row r="2313" spans="1:14" s="20" customFormat="1" ht="19.5" customHeight="1">
      <c r="A2313" s="244"/>
      <c r="B2313" s="231"/>
      <c r="C2313" s="139" t="s">
        <v>47</v>
      </c>
      <c r="D2313" s="77">
        <v>22020503</v>
      </c>
      <c r="E2313" s="135" t="s">
        <v>1073</v>
      </c>
      <c r="F2313" s="140">
        <v>308200</v>
      </c>
      <c r="G2313" s="302">
        <v>308200</v>
      </c>
      <c r="H2313" s="302">
        <v>2696800</v>
      </c>
      <c r="I2313" s="302"/>
      <c r="J2313" s="28">
        <v>3005000</v>
      </c>
      <c r="K2313" s="488">
        <f t="shared" si="394"/>
        <v>131619</v>
      </c>
      <c r="L2313" s="469">
        <v>2873381</v>
      </c>
      <c r="M2313" s="302">
        <f t="shared" si="393"/>
        <v>339020</v>
      </c>
      <c r="N2313" s="302">
        <f t="shared" si="395"/>
        <v>372922</v>
      </c>
    </row>
    <row r="2314" spans="1:14" s="20" customFormat="1" ht="19.5" customHeight="1">
      <c r="A2314" s="244"/>
      <c r="B2314" s="231"/>
      <c r="C2314" s="139" t="s">
        <v>47</v>
      </c>
      <c r="D2314" s="77">
        <v>22020601</v>
      </c>
      <c r="E2314" s="135" t="s">
        <v>766</v>
      </c>
      <c r="F2314" s="140">
        <v>174000</v>
      </c>
      <c r="G2314" s="302">
        <v>174000</v>
      </c>
      <c r="H2314" s="302"/>
      <c r="I2314" s="302"/>
      <c r="J2314" s="28">
        <v>174000</v>
      </c>
      <c r="K2314" s="488">
        <f t="shared" si="394"/>
        <v>7621.2</v>
      </c>
      <c r="L2314" s="469">
        <v>166378.80000000002</v>
      </c>
      <c r="M2314" s="302">
        <f t="shared" si="393"/>
        <v>191400</v>
      </c>
      <c r="N2314" s="302">
        <f t="shared" si="395"/>
        <v>210540</v>
      </c>
    </row>
    <row r="2315" spans="1:14" s="20" customFormat="1" ht="19.5" customHeight="1">
      <c r="A2315" s="244"/>
      <c r="B2315" s="231"/>
      <c r="C2315" s="139" t="s">
        <v>47</v>
      </c>
      <c r="D2315" s="77">
        <v>22020605</v>
      </c>
      <c r="E2315" s="135" t="s">
        <v>768</v>
      </c>
      <c r="F2315" s="140">
        <v>132017</v>
      </c>
      <c r="G2315" s="302">
        <v>132017</v>
      </c>
      <c r="H2315" s="302"/>
      <c r="I2315" s="302"/>
      <c r="J2315" s="28">
        <v>132017</v>
      </c>
      <c r="K2315" s="488">
        <f t="shared" si="394"/>
        <v>5782.3445999999994</v>
      </c>
      <c r="L2315" s="469">
        <v>126234.6554</v>
      </c>
      <c r="M2315" s="302">
        <f t="shared" si="393"/>
        <v>145218.70000000001</v>
      </c>
      <c r="N2315" s="302">
        <f t="shared" si="395"/>
        <v>159740.57</v>
      </c>
    </row>
    <row r="2316" spans="1:14" s="20" customFormat="1" ht="19.5" customHeight="1">
      <c r="A2316" s="244"/>
      <c r="B2316" s="231"/>
      <c r="C2316" s="139" t="s">
        <v>47</v>
      </c>
      <c r="D2316" s="77">
        <v>22020702</v>
      </c>
      <c r="E2316" s="135" t="s">
        <v>964</v>
      </c>
      <c r="F2316" s="140">
        <v>6300000</v>
      </c>
      <c r="G2316" s="302">
        <v>6300000</v>
      </c>
      <c r="H2316" s="302"/>
      <c r="I2316" s="302"/>
      <c r="J2316" s="28">
        <v>6300000</v>
      </c>
      <c r="K2316" s="488">
        <f t="shared" si="394"/>
        <v>275940</v>
      </c>
      <c r="L2316" s="469">
        <v>6024060</v>
      </c>
      <c r="M2316" s="302">
        <f t="shared" si="393"/>
        <v>6930000</v>
      </c>
      <c r="N2316" s="302">
        <f t="shared" si="395"/>
        <v>7623000</v>
      </c>
    </row>
    <row r="2317" spans="1:14" s="20" customFormat="1" ht="19.5" customHeight="1">
      <c r="A2317" s="244"/>
      <c r="B2317" s="231"/>
      <c r="C2317" s="139" t="s">
        <v>47</v>
      </c>
      <c r="D2317" s="77">
        <v>22020709</v>
      </c>
      <c r="E2317" s="135" t="s">
        <v>771</v>
      </c>
      <c r="F2317" s="140">
        <v>750000</v>
      </c>
      <c r="G2317" s="302">
        <v>750000</v>
      </c>
      <c r="H2317" s="302"/>
      <c r="I2317" s="302"/>
      <c r="J2317" s="28">
        <v>750000</v>
      </c>
      <c r="K2317" s="488">
        <f t="shared" si="394"/>
        <v>32850</v>
      </c>
      <c r="L2317" s="469">
        <v>717150</v>
      </c>
      <c r="M2317" s="302">
        <f t="shared" si="393"/>
        <v>825000</v>
      </c>
      <c r="N2317" s="302">
        <f t="shared" si="395"/>
        <v>907500</v>
      </c>
    </row>
    <row r="2318" spans="1:14" s="20" customFormat="1" ht="19.5" customHeight="1">
      <c r="A2318" s="244"/>
      <c r="B2318" s="231"/>
      <c r="C2318" s="139" t="s">
        <v>47</v>
      </c>
      <c r="D2318" s="77">
        <v>22020801</v>
      </c>
      <c r="E2318" s="135" t="s">
        <v>747</v>
      </c>
      <c r="F2318" s="140">
        <v>594500</v>
      </c>
      <c r="G2318" s="302">
        <v>594500</v>
      </c>
      <c r="H2318" s="302"/>
      <c r="I2318" s="302"/>
      <c r="J2318" s="28">
        <v>594500</v>
      </c>
      <c r="K2318" s="488">
        <f t="shared" si="394"/>
        <v>26039.1</v>
      </c>
      <c r="L2318" s="469">
        <v>568460.9</v>
      </c>
      <c r="M2318" s="302">
        <f t="shared" si="393"/>
        <v>653950</v>
      </c>
      <c r="N2318" s="302">
        <f t="shared" si="395"/>
        <v>719345</v>
      </c>
    </row>
    <row r="2319" spans="1:14" s="20" customFormat="1" ht="19.5" customHeight="1">
      <c r="A2319" s="244"/>
      <c r="B2319" s="231"/>
      <c r="C2319" s="139" t="s">
        <v>47</v>
      </c>
      <c r="D2319" s="77">
        <v>22020803</v>
      </c>
      <c r="E2319" s="135" t="s">
        <v>748</v>
      </c>
      <c r="F2319" s="140">
        <v>819500</v>
      </c>
      <c r="G2319" s="302">
        <v>819500</v>
      </c>
      <c r="H2319" s="302">
        <v>7092500</v>
      </c>
      <c r="I2319" s="302"/>
      <c r="J2319" s="28">
        <v>7912000</v>
      </c>
      <c r="K2319" s="488">
        <f t="shared" si="394"/>
        <v>346545.6</v>
      </c>
      <c r="L2319" s="469">
        <v>7565454.4000000004</v>
      </c>
      <c r="M2319" s="302">
        <f t="shared" si="393"/>
        <v>901450</v>
      </c>
      <c r="N2319" s="302">
        <f t="shared" si="395"/>
        <v>991595</v>
      </c>
    </row>
    <row r="2320" spans="1:14" s="20" customFormat="1" ht="19.5" customHeight="1">
      <c r="A2320" s="244"/>
      <c r="B2320" s="231"/>
      <c r="C2320" s="139" t="s">
        <v>47</v>
      </c>
      <c r="D2320" s="77">
        <v>22020806</v>
      </c>
      <c r="E2320" s="135" t="s">
        <v>1010</v>
      </c>
      <c r="F2320" s="140">
        <v>7600</v>
      </c>
      <c r="G2320" s="302">
        <v>7600</v>
      </c>
      <c r="H2320" s="302"/>
      <c r="I2320" s="302"/>
      <c r="J2320" s="28">
        <v>7600</v>
      </c>
      <c r="K2320" s="488">
        <f t="shared" si="394"/>
        <v>332.88</v>
      </c>
      <c r="L2320" s="469">
        <v>7267.1200000000008</v>
      </c>
      <c r="M2320" s="302">
        <f t="shared" si="393"/>
        <v>8360</v>
      </c>
      <c r="N2320" s="302">
        <f t="shared" si="395"/>
        <v>9196</v>
      </c>
    </row>
    <row r="2321" spans="1:14" s="20" customFormat="1" ht="19.5" customHeight="1">
      <c r="A2321" s="244"/>
      <c r="B2321" s="231"/>
      <c r="C2321" s="139" t="s">
        <v>47</v>
      </c>
      <c r="D2321" s="77">
        <v>22020901</v>
      </c>
      <c r="E2321" s="135" t="s">
        <v>749</v>
      </c>
      <c r="F2321" s="140">
        <v>44200</v>
      </c>
      <c r="G2321" s="302">
        <v>44200</v>
      </c>
      <c r="H2321" s="302"/>
      <c r="I2321" s="302"/>
      <c r="J2321" s="28">
        <v>44200</v>
      </c>
      <c r="K2321" s="488">
        <f t="shared" si="394"/>
        <v>1935.96</v>
      </c>
      <c r="L2321" s="469">
        <v>42264.04</v>
      </c>
      <c r="M2321" s="302">
        <f t="shared" si="393"/>
        <v>48620</v>
      </c>
      <c r="N2321" s="302">
        <f t="shared" si="395"/>
        <v>53482</v>
      </c>
    </row>
    <row r="2322" spans="1:14" s="20" customFormat="1" ht="19.5" customHeight="1">
      <c r="A2322" s="244"/>
      <c r="B2322" s="231"/>
      <c r="C2322" s="139" t="s">
        <v>47</v>
      </c>
      <c r="D2322" s="77">
        <v>22021001</v>
      </c>
      <c r="E2322" s="135" t="s">
        <v>772</v>
      </c>
      <c r="F2322" s="140">
        <v>1447000</v>
      </c>
      <c r="G2322" s="302">
        <v>1447000</v>
      </c>
      <c r="H2322" s="302"/>
      <c r="I2322" s="302"/>
      <c r="J2322" s="28">
        <v>1447000</v>
      </c>
      <c r="K2322" s="488">
        <f t="shared" si="394"/>
        <v>63378.6</v>
      </c>
      <c r="L2322" s="469">
        <v>1383621.4000000001</v>
      </c>
      <c r="M2322" s="302">
        <f t="shared" si="393"/>
        <v>1591700</v>
      </c>
      <c r="N2322" s="302">
        <f t="shared" si="395"/>
        <v>1750870</v>
      </c>
    </row>
    <row r="2323" spans="1:14" s="20" customFormat="1" ht="19.5" customHeight="1">
      <c r="A2323" s="244"/>
      <c r="B2323" s="231"/>
      <c r="C2323" s="139" t="s">
        <v>47</v>
      </c>
      <c r="D2323" s="77">
        <v>22021002</v>
      </c>
      <c r="E2323" s="135" t="s">
        <v>805</v>
      </c>
      <c r="F2323" s="140">
        <v>7110000</v>
      </c>
      <c r="G2323" s="302">
        <v>7110000</v>
      </c>
      <c r="H2323" s="302"/>
      <c r="I2323" s="302"/>
      <c r="J2323" s="28">
        <v>7110000</v>
      </c>
      <c r="K2323" s="488">
        <f t="shared" si="394"/>
        <v>311418</v>
      </c>
      <c r="L2323" s="469">
        <v>6798582</v>
      </c>
      <c r="M2323" s="302">
        <f t="shared" si="393"/>
        <v>7821000</v>
      </c>
      <c r="N2323" s="302">
        <f t="shared" si="395"/>
        <v>8603100</v>
      </c>
    </row>
    <row r="2324" spans="1:14" s="20" customFormat="1" ht="19.5" customHeight="1">
      <c r="A2324" s="244"/>
      <c r="B2324" s="231"/>
      <c r="C2324" s="139" t="s">
        <v>47</v>
      </c>
      <c r="D2324" s="77">
        <v>22021003</v>
      </c>
      <c r="E2324" s="135" t="s">
        <v>760</v>
      </c>
      <c r="F2324" s="140">
        <v>1050000</v>
      </c>
      <c r="G2324" s="302">
        <v>1050000</v>
      </c>
      <c r="H2324" s="302"/>
      <c r="I2324" s="302"/>
      <c r="J2324" s="28">
        <v>1050000</v>
      </c>
      <c r="K2324" s="488">
        <f t="shared" si="394"/>
        <v>45990</v>
      </c>
      <c r="L2324" s="469">
        <v>1004010</v>
      </c>
      <c r="M2324" s="302">
        <f t="shared" si="393"/>
        <v>1155000</v>
      </c>
      <c r="N2324" s="302">
        <f t="shared" si="395"/>
        <v>1270500</v>
      </c>
    </row>
    <row r="2325" spans="1:14" s="20" customFormat="1" ht="19.5" customHeight="1">
      <c r="A2325" s="244"/>
      <c r="B2325" s="231"/>
      <c r="C2325" s="139" t="s">
        <v>47</v>
      </c>
      <c r="D2325" s="77">
        <v>22021007</v>
      </c>
      <c r="E2325" s="135" t="s">
        <v>856</v>
      </c>
      <c r="F2325" s="140">
        <v>50000</v>
      </c>
      <c r="G2325" s="302">
        <v>50000</v>
      </c>
      <c r="H2325" s="302"/>
      <c r="I2325" s="302"/>
      <c r="J2325" s="28">
        <v>50000</v>
      </c>
      <c r="K2325" s="488">
        <f t="shared" si="394"/>
        <v>2190</v>
      </c>
      <c r="L2325" s="469">
        <v>47810</v>
      </c>
      <c r="M2325" s="302">
        <f t="shared" si="393"/>
        <v>55000</v>
      </c>
      <c r="N2325" s="302">
        <f t="shared" si="395"/>
        <v>60500</v>
      </c>
    </row>
    <row r="2326" spans="1:14" s="20" customFormat="1" ht="19.5" customHeight="1">
      <c r="A2326" s="244"/>
      <c r="B2326" s="231"/>
      <c r="C2326" s="139" t="s">
        <v>47</v>
      </c>
      <c r="D2326" s="77">
        <v>22021009</v>
      </c>
      <c r="E2326" s="135" t="s">
        <v>873</v>
      </c>
      <c r="F2326" s="140">
        <v>117500</v>
      </c>
      <c r="G2326" s="302">
        <v>117500</v>
      </c>
      <c r="H2326" s="302"/>
      <c r="I2326" s="302"/>
      <c r="J2326" s="28">
        <v>117500</v>
      </c>
      <c r="K2326" s="488">
        <f t="shared" si="394"/>
        <v>5146.5</v>
      </c>
      <c r="L2326" s="469">
        <v>112353.5</v>
      </c>
      <c r="M2326" s="302">
        <f t="shared" si="393"/>
        <v>129250</v>
      </c>
      <c r="N2326" s="302">
        <f t="shared" si="395"/>
        <v>142175</v>
      </c>
    </row>
    <row r="2327" spans="1:14" s="20" customFormat="1" ht="19.5" customHeight="1">
      <c r="A2327" s="244"/>
      <c r="B2327" s="231"/>
      <c r="C2327" s="139" t="s">
        <v>47</v>
      </c>
      <c r="D2327" s="77">
        <v>22021026</v>
      </c>
      <c r="E2327" s="135" t="s">
        <v>751</v>
      </c>
      <c r="F2327" s="140">
        <v>440000</v>
      </c>
      <c r="G2327" s="302">
        <v>440000</v>
      </c>
      <c r="H2327" s="302"/>
      <c r="I2327" s="302"/>
      <c r="J2327" s="28">
        <v>440000</v>
      </c>
      <c r="K2327" s="488">
        <f t="shared" si="394"/>
        <v>19272</v>
      </c>
      <c r="L2327" s="469">
        <v>420728</v>
      </c>
      <c r="M2327" s="302">
        <f t="shared" si="393"/>
        <v>484000</v>
      </c>
      <c r="N2327" s="302">
        <f t="shared" si="395"/>
        <v>532400</v>
      </c>
    </row>
    <row r="2328" spans="1:14" s="20" customFormat="1" ht="19.5" customHeight="1">
      <c r="A2328" s="244"/>
      <c r="B2328" s="231"/>
      <c r="C2328" s="139" t="s">
        <v>47</v>
      </c>
      <c r="D2328" s="77">
        <v>22021029</v>
      </c>
      <c r="E2328" s="135" t="s">
        <v>867</v>
      </c>
      <c r="F2328" s="140">
        <v>150000</v>
      </c>
      <c r="G2328" s="302">
        <v>150000</v>
      </c>
      <c r="H2328" s="302"/>
      <c r="I2328" s="302"/>
      <c r="J2328" s="28">
        <v>150000</v>
      </c>
      <c r="K2328" s="488">
        <f t="shared" si="394"/>
        <v>6570</v>
      </c>
      <c r="L2328" s="469">
        <v>143430</v>
      </c>
      <c r="M2328" s="302">
        <f t="shared" si="393"/>
        <v>165000</v>
      </c>
      <c r="N2328" s="302">
        <f t="shared" si="395"/>
        <v>181500</v>
      </c>
    </row>
    <row r="2329" spans="1:14" s="20" customFormat="1" ht="19.5" customHeight="1">
      <c r="A2329" s="244"/>
      <c r="B2329" s="231"/>
      <c r="C2329" s="139" t="s">
        <v>47</v>
      </c>
      <c r="D2329" s="77">
        <v>22021030</v>
      </c>
      <c r="E2329" s="135" t="s">
        <v>1011</v>
      </c>
      <c r="F2329" s="140">
        <v>81349700</v>
      </c>
      <c r="G2329" s="302">
        <v>81349700</v>
      </c>
      <c r="H2329" s="302"/>
      <c r="I2329" s="302"/>
      <c r="J2329" s="28">
        <v>81349700</v>
      </c>
      <c r="K2329" s="488">
        <f t="shared" si="394"/>
        <v>3563116.86</v>
      </c>
      <c r="L2329" s="469">
        <v>77786583.140000001</v>
      </c>
      <c r="M2329" s="302">
        <f t="shared" si="393"/>
        <v>89484670</v>
      </c>
      <c r="N2329" s="302">
        <f t="shared" si="395"/>
        <v>98433137</v>
      </c>
    </row>
    <row r="2330" spans="1:14" s="20" customFormat="1" ht="19.5" customHeight="1">
      <c r="A2330" s="244"/>
      <c r="B2330" s="231"/>
      <c r="C2330" s="139" t="s">
        <v>47</v>
      </c>
      <c r="D2330" s="77">
        <v>22021036</v>
      </c>
      <c r="E2330" s="135" t="s">
        <v>1012</v>
      </c>
      <c r="F2330" s="140">
        <v>1460000</v>
      </c>
      <c r="G2330" s="302">
        <v>1460000</v>
      </c>
      <c r="H2330" s="302">
        <v>3686800</v>
      </c>
      <c r="I2330" s="302"/>
      <c r="J2330" s="28">
        <v>5146800</v>
      </c>
      <c r="K2330" s="488">
        <f t="shared" si="394"/>
        <v>225429.84</v>
      </c>
      <c r="L2330" s="469">
        <v>4921370.16</v>
      </c>
      <c r="M2330" s="302">
        <f t="shared" si="393"/>
        <v>1606000</v>
      </c>
      <c r="N2330" s="302">
        <f t="shared" si="395"/>
        <v>1766600</v>
      </c>
    </row>
    <row r="2331" spans="1:14" s="20" customFormat="1" ht="19.5" customHeight="1">
      <c r="A2331" s="238"/>
      <c r="B2331" s="231"/>
      <c r="C2331" s="30" t="s">
        <v>1837</v>
      </c>
      <c r="D2331" s="23"/>
      <c r="E2331" s="25"/>
      <c r="F2331" s="137">
        <f>SUM(F2293:F2330)</f>
        <v>133581767</v>
      </c>
      <c r="G2331" s="114">
        <f>SUM(G2293:G2330)</f>
        <v>125881767</v>
      </c>
      <c r="H2331" s="114">
        <f>SUM(H2293:H2330)</f>
        <v>15898600</v>
      </c>
      <c r="I2331" s="114">
        <f t="shared" ref="I2331:M2331" si="396">SUM(I2293:I2330)</f>
        <v>0</v>
      </c>
      <c r="J2331" s="114">
        <f>SUM(J2293:J2330)</f>
        <v>141780367</v>
      </c>
      <c r="K2331" s="490">
        <f t="shared" si="394"/>
        <v>6209980.0745999999</v>
      </c>
      <c r="L2331" s="468">
        <f>SUM(L2293:L2330)</f>
        <v>135570386.92539999</v>
      </c>
      <c r="M2331" s="114">
        <f t="shared" si="396"/>
        <v>138469943.69999999</v>
      </c>
      <c r="N2331" s="114">
        <f>SUM(N2293:N2330)</f>
        <v>152316938.06999999</v>
      </c>
    </row>
    <row r="2332" spans="1:14" s="66" customFormat="1" ht="33" customHeight="1">
      <c r="A2332" s="238" t="s">
        <v>1072</v>
      </c>
      <c r="B2332" s="231" t="s">
        <v>1831</v>
      </c>
      <c r="C2332" s="30"/>
      <c r="D2332" s="23"/>
      <c r="E2332" s="25"/>
      <c r="F2332" s="137">
        <f>F2331+F2292</f>
        <v>635205419</v>
      </c>
      <c r="G2332" s="114">
        <f>G2331+G2292</f>
        <v>627505419</v>
      </c>
      <c r="H2332" s="114">
        <f t="shared" ref="H2332:M2332" si="397">H2331+H2292</f>
        <v>15898600</v>
      </c>
      <c r="I2332" s="114">
        <f t="shared" si="397"/>
        <v>0</v>
      </c>
      <c r="J2332" s="114">
        <f>J2331+J2292</f>
        <v>643404019</v>
      </c>
      <c r="K2332" s="490"/>
      <c r="L2332" s="468">
        <f>L2331+L2292</f>
        <v>637194038.92540002</v>
      </c>
      <c r="M2332" s="114">
        <f t="shared" si="397"/>
        <v>690255960.9000001</v>
      </c>
      <c r="N2332" s="114">
        <f>N2331+N2292</f>
        <v>759281556.99000001</v>
      </c>
    </row>
    <row r="2333" spans="1:14" s="20" customFormat="1" ht="21">
      <c r="A2333" s="252"/>
      <c r="B2333" s="443"/>
      <c r="C2333" s="228"/>
      <c r="D2333" s="229"/>
      <c r="E2333" s="230"/>
      <c r="F2333" s="215"/>
      <c r="G2333" s="296"/>
      <c r="H2333" s="296"/>
      <c r="I2333" s="296"/>
      <c r="J2333" s="28">
        <f t="shared" ref="J2333:K2333" si="398">G2333+H2333-I2333</f>
        <v>0</v>
      </c>
      <c r="K2333" s="488">
        <f t="shared" si="398"/>
        <v>0</v>
      </c>
      <c r="L2333" s="468">
        <f>G2333-J2333</f>
        <v>0</v>
      </c>
      <c r="M2333" s="296"/>
      <c r="N2333" s="296"/>
    </row>
    <row r="2334" spans="1:14" s="20" customFormat="1" ht="30">
      <c r="A2334" s="245" t="s">
        <v>1074</v>
      </c>
      <c r="B2334" s="231" t="s">
        <v>122</v>
      </c>
      <c r="C2334" s="139" t="s">
        <v>946</v>
      </c>
      <c r="D2334" s="77">
        <v>21010101</v>
      </c>
      <c r="E2334" s="135" t="s">
        <v>725</v>
      </c>
      <c r="F2334" s="140">
        <v>38025734.75</v>
      </c>
      <c r="G2334" s="302">
        <v>38025734.75</v>
      </c>
      <c r="H2334" s="302"/>
      <c r="I2334" s="302"/>
      <c r="J2334" s="28">
        <v>38025734.75</v>
      </c>
      <c r="K2334" s="488"/>
      <c r="L2334" s="467">
        <v>38025734.75</v>
      </c>
      <c r="M2334" s="302">
        <v>45259635.125780016</v>
      </c>
      <c r="N2334" s="302">
        <v>46617424.179553382</v>
      </c>
    </row>
    <row r="2335" spans="1:14" s="20" customFormat="1">
      <c r="A2335" s="244"/>
      <c r="B2335" s="231"/>
      <c r="C2335" s="139" t="s">
        <v>946</v>
      </c>
      <c r="D2335" s="77">
        <v>21020101</v>
      </c>
      <c r="E2335" s="135" t="s">
        <v>726</v>
      </c>
      <c r="F2335" s="140">
        <v>2161303.2152999993</v>
      </c>
      <c r="G2335" s="302">
        <v>2161303.2152999993</v>
      </c>
      <c r="H2335" s="302"/>
      <c r="I2335" s="302"/>
      <c r="J2335" s="28">
        <v>2161303.2152999993</v>
      </c>
      <c r="K2335" s="488"/>
      <c r="L2335" s="467">
        <v>2161303.2152999993</v>
      </c>
      <c r="M2335" s="302">
        <v>2226142.3117589997</v>
      </c>
      <c r="N2335" s="302">
        <v>2292926.5811117701</v>
      </c>
    </row>
    <row r="2336" spans="1:14" s="20" customFormat="1">
      <c r="A2336" s="244"/>
      <c r="B2336" s="231"/>
      <c r="C2336" s="139" t="s">
        <v>946</v>
      </c>
      <c r="D2336" s="77">
        <v>21020102</v>
      </c>
      <c r="E2336" s="135" t="s">
        <v>727</v>
      </c>
      <c r="F2336" s="140">
        <v>975337.77060000016</v>
      </c>
      <c r="G2336" s="302">
        <v>975337.77060000016</v>
      </c>
      <c r="H2336" s="302">
        <v>16000</v>
      </c>
      <c r="I2336" s="302"/>
      <c r="J2336" s="28">
        <v>991337.77060000016</v>
      </c>
      <c r="K2336" s="488"/>
      <c r="L2336" s="467">
        <v>991337.77060000016</v>
      </c>
      <c r="M2336" s="302">
        <v>1004597.903718</v>
      </c>
      <c r="N2336" s="302">
        <v>1034735.8408295398</v>
      </c>
    </row>
    <row r="2337" spans="1:14" s="20" customFormat="1">
      <c r="A2337" s="244"/>
      <c r="B2337" s="231"/>
      <c r="C2337" s="139" t="s">
        <v>946</v>
      </c>
      <c r="D2337" s="77">
        <v>21020103</v>
      </c>
      <c r="E2337" s="135" t="s">
        <v>728</v>
      </c>
      <c r="F2337" s="140">
        <v>436153.27229999995</v>
      </c>
      <c r="G2337" s="302">
        <v>436153.27229999995</v>
      </c>
      <c r="H2337" s="302"/>
      <c r="I2337" s="302"/>
      <c r="J2337" s="28">
        <v>436153.27229999995</v>
      </c>
      <c r="K2337" s="488"/>
      <c r="L2337" s="467">
        <v>436153.27229999995</v>
      </c>
      <c r="M2337" s="302">
        <v>449237.87046899996</v>
      </c>
      <c r="N2337" s="302">
        <v>462715.00658307003</v>
      </c>
    </row>
    <row r="2338" spans="1:14" s="20" customFormat="1">
      <c r="A2338" s="244"/>
      <c r="B2338" s="231"/>
      <c r="C2338" s="139" t="s">
        <v>946</v>
      </c>
      <c r="D2338" s="77">
        <v>21020104</v>
      </c>
      <c r="E2338" s="135" t="s">
        <v>729</v>
      </c>
      <c r="F2338" s="140">
        <v>438078.8102999999</v>
      </c>
      <c r="G2338" s="302">
        <v>438078.8102999999</v>
      </c>
      <c r="H2338" s="302"/>
      <c r="I2338" s="302"/>
      <c r="J2338" s="28">
        <v>438078.8102999999</v>
      </c>
      <c r="K2338" s="488"/>
      <c r="L2338" s="467">
        <v>438078.8102999999</v>
      </c>
      <c r="M2338" s="302">
        <v>451221.17460899986</v>
      </c>
      <c r="N2338" s="302">
        <v>464757.80984727008</v>
      </c>
    </row>
    <row r="2339" spans="1:14" s="20" customFormat="1">
      <c r="A2339" s="244"/>
      <c r="B2339" s="231"/>
      <c r="C2339" s="139" t="s">
        <v>946</v>
      </c>
      <c r="D2339" s="77">
        <v>21020106</v>
      </c>
      <c r="E2339" s="135" t="s">
        <v>731</v>
      </c>
      <c r="F2339" s="140">
        <v>872306.54459999991</v>
      </c>
      <c r="G2339" s="302">
        <v>872306.54459999991</v>
      </c>
      <c r="H2339" s="302"/>
      <c r="I2339" s="302"/>
      <c r="J2339" s="28">
        <v>872306.54459999991</v>
      </c>
      <c r="K2339" s="488"/>
      <c r="L2339" s="467">
        <v>872306.54459999991</v>
      </c>
      <c r="M2339" s="302">
        <v>898475.74093799992</v>
      </c>
      <c r="N2339" s="302">
        <v>925430.01316614007</v>
      </c>
    </row>
    <row r="2340" spans="1:14" s="20" customFormat="1">
      <c r="A2340" s="244"/>
      <c r="B2340" s="231"/>
      <c r="C2340" s="139" t="s">
        <v>946</v>
      </c>
      <c r="D2340" s="77">
        <v>21020110</v>
      </c>
      <c r="E2340" s="135" t="s">
        <v>733</v>
      </c>
      <c r="F2340" s="140">
        <v>917322</v>
      </c>
      <c r="G2340" s="302">
        <v>917322</v>
      </c>
      <c r="H2340" s="302"/>
      <c r="I2340" s="302"/>
      <c r="J2340" s="28">
        <v>917322</v>
      </c>
      <c r="K2340" s="488"/>
      <c r="L2340" s="467">
        <v>917322</v>
      </c>
      <c r="M2340" s="302">
        <v>3464857.7879999997</v>
      </c>
      <c r="N2340" s="302">
        <v>3568803.5216400018</v>
      </c>
    </row>
    <row r="2341" spans="1:14" s="20" customFormat="1">
      <c r="A2341" s="244"/>
      <c r="B2341" s="231"/>
      <c r="C2341" s="139" t="s">
        <v>946</v>
      </c>
      <c r="D2341" s="77">
        <v>21020118</v>
      </c>
      <c r="E2341" s="135" t="s">
        <v>890</v>
      </c>
      <c r="F2341" s="140">
        <v>1218000</v>
      </c>
      <c r="G2341" s="302">
        <v>1218000</v>
      </c>
      <c r="H2341" s="302"/>
      <c r="I2341" s="302"/>
      <c r="J2341" s="28">
        <v>1218000</v>
      </c>
      <c r="K2341" s="488"/>
      <c r="L2341" s="467">
        <v>1218000</v>
      </c>
      <c r="M2341" s="302">
        <v>5013756.1319999993</v>
      </c>
      <c r="N2341" s="302">
        <v>5138859.985559999</v>
      </c>
    </row>
    <row r="2342" spans="1:14" s="20" customFormat="1">
      <c r="A2342" s="244"/>
      <c r="B2342" s="231"/>
      <c r="C2342" s="139" t="s">
        <v>946</v>
      </c>
      <c r="D2342" s="77">
        <v>21020124</v>
      </c>
      <c r="E2342" s="135" t="s">
        <v>734</v>
      </c>
      <c r="F2342" s="140">
        <v>2565712.7999999998</v>
      </c>
      <c r="G2342" s="302">
        <v>2565712.7999999998</v>
      </c>
      <c r="H2342" s="302"/>
      <c r="I2342" s="302"/>
      <c r="J2342" s="28">
        <v>2565712.7999999998</v>
      </c>
      <c r="K2342" s="488"/>
      <c r="L2342" s="467">
        <v>2565712.7999999998</v>
      </c>
      <c r="M2342" s="302">
        <v>1261260</v>
      </c>
      <c r="N2342" s="302">
        <v>1299097.7999999998</v>
      </c>
    </row>
    <row r="2343" spans="1:14" s="20" customFormat="1">
      <c r="A2343" s="244"/>
      <c r="B2343" s="231"/>
      <c r="C2343" s="139" t="s">
        <v>946</v>
      </c>
      <c r="D2343" s="77">
        <v>21020148</v>
      </c>
      <c r="E2343" s="135" t="s">
        <v>893</v>
      </c>
      <c r="F2343" s="140">
        <v>4607324.4000000004</v>
      </c>
      <c r="G2343" s="302">
        <v>4607324.4000000004</v>
      </c>
      <c r="H2343" s="302">
        <v>1500000</v>
      </c>
      <c r="I2343" s="302"/>
      <c r="J2343" s="28">
        <v>6107324.4000000004</v>
      </c>
      <c r="K2343" s="488"/>
      <c r="L2343" s="467">
        <v>6107324.4000000004</v>
      </c>
      <c r="M2343" s="302">
        <v>4140202.6259999997</v>
      </c>
      <c r="N2343" s="302">
        <v>4264408.7047799993</v>
      </c>
    </row>
    <row r="2344" spans="1:14" s="20" customFormat="1">
      <c r="A2344" s="238"/>
      <c r="B2344" s="231"/>
      <c r="C2344" s="30" t="s">
        <v>1842</v>
      </c>
      <c r="D2344" s="23"/>
      <c r="E2344" s="25"/>
      <c r="F2344" s="137">
        <f>SUM(F2334:F2343)</f>
        <v>52217273.563099995</v>
      </c>
      <c r="G2344" s="114">
        <f>SUM(G2334:G2343)</f>
        <v>52217273.563099995</v>
      </c>
      <c r="H2344" s="114">
        <f>SUM(H2334:H2343)</f>
        <v>1516000</v>
      </c>
      <c r="I2344" s="114">
        <f t="shared" ref="I2344:M2344" si="399">SUM(I2334:I2343)</f>
        <v>0</v>
      </c>
      <c r="J2344" s="114">
        <f>SUM(J2334:J2343)</f>
        <v>53733273.563099995</v>
      </c>
      <c r="K2344" s="490"/>
      <c r="L2344" s="468">
        <f>SUM(L2334:L2343)</f>
        <v>53733273.563099995</v>
      </c>
      <c r="M2344" s="114">
        <f t="shared" si="399"/>
        <v>64169386.673273019</v>
      </c>
      <c r="N2344" s="114">
        <f>SUM(N2334:N2343)</f>
        <v>66069159.443071164</v>
      </c>
    </row>
    <row r="2345" spans="1:14" s="20" customFormat="1">
      <c r="A2345" s="244"/>
      <c r="B2345" s="231"/>
      <c r="C2345" s="139" t="s">
        <v>47</v>
      </c>
      <c r="D2345" s="77">
        <v>22020105</v>
      </c>
      <c r="E2345" s="135" t="s">
        <v>1733</v>
      </c>
      <c r="F2345" s="140">
        <v>324800</v>
      </c>
      <c r="G2345" s="302">
        <v>324800</v>
      </c>
      <c r="H2345" s="302">
        <v>864000</v>
      </c>
      <c r="I2345" s="302"/>
      <c r="J2345" s="28">
        <v>1188800</v>
      </c>
      <c r="K2345" s="488">
        <f>J2345*4.38%</f>
        <v>52069.439999999995</v>
      </c>
      <c r="L2345" s="469">
        <v>1136730.56</v>
      </c>
      <c r="M2345" s="302">
        <v>378800</v>
      </c>
      <c r="N2345" s="302">
        <v>378800</v>
      </c>
    </row>
    <row r="2346" spans="1:14" s="20" customFormat="1">
      <c r="A2346" s="244"/>
      <c r="B2346" s="231"/>
      <c r="C2346" s="139" t="s">
        <v>47</v>
      </c>
      <c r="D2346" s="77">
        <v>22020102</v>
      </c>
      <c r="E2346" s="135" t="s">
        <v>956</v>
      </c>
      <c r="F2346" s="140"/>
      <c r="G2346" s="302"/>
      <c r="H2346" s="302">
        <v>38700</v>
      </c>
      <c r="I2346" s="302"/>
      <c r="J2346" s="28">
        <v>38700</v>
      </c>
      <c r="K2346" s="488">
        <f t="shared" ref="K2346:K2370" si="400">J2346*4.38%</f>
        <v>1695.06</v>
      </c>
      <c r="L2346" s="469">
        <v>37004.94</v>
      </c>
      <c r="M2346" s="302"/>
      <c r="N2346" s="302"/>
    </row>
    <row r="2347" spans="1:14" s="20" customFormat="1">
      <c r="A2347" s="244"/>
      <c r="B2347" s="231"/>
      <c r="C2347" s="139" t="s">
        <v>47</v>
      </c>
      <c r="D2347" s="77">
        <v>22020108</v>
      </c>
      <c r="E2347" s="135" t="s">
        <v>2616</v>
      </c>
      <c r="F2347" s="140"/>
      <c r="G2347" s="302"/>
      <c r="H2347" s="302">
        <v>518000</v>
      </c>
      <c r="I2347" s="302"/>
      <c r="J2347" s="28">
        <v>518000</v>
      </c>
      <c r="K2347" s="488">
        <f t="shared" si="400"/>
        <v>22688.399999999998</v>
      </c>
      <c r="L2347" s="469">
        <v>495311.60000000003</v>
      </c>
      <c r="M2347" s="302"/>
      <c r="N2347" s="302"/>
    </row>
    <row r="2348" spans="1:14" s="20" customFormat="1">
      <c r="A2348" s="244"/>
      <c r="B2348" s="231"/>
      <c r="C2348" s="139" t="s">
        <v>47</v>
      </c>
      <c r="D2348" s="77">
        <v>22020503</v>
      </c>
      <c r="E2348" s="135" t="s">
        <v>2619</v>
      </c>
      <c r="F2348" s="140"/>
      <c r="G2348" s="302"/>
      <c r="H2348" s="302">
        <v>450000</v>
      </c>
      <c r="I2348" s="302"/>
      <c r="J2348" s="28">
        <v>450000</v>
      </c>
      <c r="K2348" s="488">
        <f t="shared" si="400"/>
        <v>19710</v>
      </c>
      <c r="L2348" s="469">
        <v>430290</v>
      </c>
      <c r="M2348" s="302"/>
      <c r="N2348" s="302"/>
    </row>
    <row r="2349" spans="1:14" s="20" customFormat="1">
      <c r="A2349" s="244"/>
      <c r="B2349" s="231"/>
      <c r="C2349" s="139" t="s">
        <v>47</v>
      </c>
      <c r="D2349" s="77">
        <v>22020203</v>
      </c>
      <c r="E2349" s="135" t="s">
        <v>779</v>
      </c>
      <c r="F2349" s="140">
        <v>640000</v>
      </c>
      <c r="G2349" s="302">
        <v>0</v>
      </c>
      <c r="H2349" s="302"/>
      <c r="I2349" s="302"/>
      <c r="J2349" s="28">
        <v>0</v>
      </c>
      <c r="K2349" s="488">
        <f t="shared" si="400"/>
        <v>0</v>
      </c>
      <c r="L2349" s="469">
        <v>0</v>
      </c>
      <c r="M2349" s="302">
        <v>640000</v>
      </c>
      <c r="N2349" s="302">
        <v>640000</v>
      </c>
    </row>
    <row r="2350" spans="1:14" s="20" customFormat="1">
      <c r="A2350" s="244"/>
      <c r="B2350" s="231"/>
      <c r="C2350" s="139" t="s">
        <v>47</v>
      </c>
      <c r="D2350" s="77">
        <v>22020301</v>
      </c>
      <c r="E2350" s="135" t="s">
        <v>737</v>
      </c>
      <c r="F2350" s="140">
        <v>115200</v>
      </c>
      <c r="G2350" s="302">
        <v>115200</v>
      </c>
      <c r="H2350" s="302">
        <v>92000</v>
      </c>
      <c r="I2350" s="302"/>
      <c r="J2350" s="28">
        <v>207200</v>
      </c>
      <c r="K2350" s="488">
        <f t="shared" si="400"/>
        <v>9075.36</v>
      </c>
      <c r="L2350" s="469">
        <v>198124.64</v>
      </c>
      <c r="M2350" s="302">
        <v>78200</v>
      </c>
      <c r="N2350" s="302">
        <v>115200</v>
      </c>
    </row>
    <row r="2351" spans="1:14" s="20" customFormat="1">
      <c r="A2351" s="244"/>
      <c r="B2351" s="231"/>
      <c r="C2351" s="139" t="s">
        <v>47</v>
      </c>
      <c r="D2351" s="77">
        <v>22020401</v>
      </c>
      <c r="E2351" s="135" t="s">
        <v>741</v>
      </c>
      <c r="F2351" s="140">
        <v>216000</v>
      </c>
      <c r="G2351" s="302">
        <v>216000</v>
      </c>
      <c r="H2351" s="302">
        <v>120000</v>
      </c>
      <c r="I2351" s="302"/>
      <c r="J2351" s="28">
        <v>336000</v>
      </c>
      <c r="K2351" s="488">
        <f t="shared" si="400"/>
        <v>14716.8</v>
      </c>
      <c r="L2351" s="469">
        <v>321283.20000000001</v>
      </c>
      <c r="M2351" s="302">
        <v>336000</v>
      </c>
      <c r="N2351" s="302">
        <v>336000</v>
      </c>
    </row>
    <row r="2352" spans="1:14" s="20" customFormat="1">
      <c r="A2352" s="244"/>
      <c r="B2352" s="231"/>
      <c r="C2352" s="139" t="s">
        <v>47</v>
      </c>
      <c r="D2352" s="77">
        <v>22020404</v>
      </c>
      <c r="E2352" s="135" t="s">
        <v>742</v>
      </c>
      <c r="F2352" s="140">
        <v>310000</v>
      </c>
      <c r="G2352" s="302">
        <v>310000</v>
      </c>
      <c r="H2352" s="302">
        <v>46000</v>
      </c>
      <c r="I2352" s="302"/>
      <c r="J2352" s="28">
        <v>356000</v>
      </c>
      <c r="K2352" s="488">
        <f t="shared" si="400"/>
        <v>15592.8</v>
      </c>
      <c r="L2352" s="469">
        <v>340407.2</v>
      </c>
      <c r="M2352" s="302">
        <v>310000</v>
      </c>
      <c r="N2352" s="302">
        <v>310000</v>
      </c>
    </row>
    <row r="2353" spans="1:14" s="20" customFormat="1">
      <c r="A2353" s="244"/>
      <c r="B2353" s="231"/>
      <c r="C2353" s="139" t="s">
        <v>47</v>
      </c>
      <c r="D2353" s="77">
        <v>22020405</v>
      </c>
      <c r="E2353" s="135" t="s">
        <v>743</v>
      </c>
      <c r="F2353" s="140">
        <v>240000</v>
      </c>
      <c r="G2353" s="302">
        <v>240000</v>
      </c>
      <c r="H2353" s="302">
        <v>651660</v>
      </c>
      <c r="I2353" s="302"/>
      <c r="J2353" s="28">
        <v>891660</v>
      </c>
      <c r="K2353" s="488">
        <f t="shared" si="400"/>
        <v>39054.707999999999</v>
      </c>
      <c r="L2353" s="469">
        <v>852605.29200000002</v>
      </c>
      <c r="M2353" s="302">
        <v>240000</v>
      </c>
      <c r="N2353" s="302">
        <v>240000</v>
      </c>
    </row>
    <row r="2354" spans="1:14" s="20" customFormat="1">
      <c r="A2354" s="244"/>
      <c r="B2354" s="231"/>
      <c r="C2354" s="139" t="s">
        <v>47</v>
      </c>
      <c r="D2354" s="77">
        <v>22020406</v>
      </c>
      <c r="E2354" s="135" t="s">
        <v>758</v>
      </c>
      <c r="F2354" s="140">
        <v>396150</v>
      </c>
      <c r="G2354" s="302">
        <v>196150</v>
      </c>
      <c r="H2354" s="302"/>
      <c r="I2354" s="302"/>
      <c r="J2354" s="28">
        <v>196150</v>
      </c>
      <c r="K2354" s="488">
        <f t="shared" si="400"/>
        <v>8591.369999999999</v>
      </c>
      <c r="L2354" s="469">
        <v>187558.63</v>
      </c>
      <c r="M2354" s="302">
        <v>396150</v>
      </c>
      <c r="N2354" s="302">
        <v>396150</v>
      </c>
    </row>
    <row r="2355" spans="1:14" s="20" customFormat="1">
      <c r="A2355" s="244"/>
      <c r="B2355" s="231"/>
      <c r="C2355" s="139" t="s">
        <v>47</v>
      </c>
      <c r="D2355" s="77">
        <v>22020506</v>
      </c>
      <c r="E2355" s="135" t="s">
        <v>783</v>
      </c>
      <c r="F2355" s="140">
        <v>225000</v>
      </c>
      <c r="G2355" s="302">
        <v>225000</v>
      </c>
      <c r="H2355" s="302"/>
      <c r="I2355" s="302"/>
      <c r="J2355" s="28">
        <v>225000</v>
      </c>
      <c r="K2355" s="488">
        <f t="shared" si="400"/>
        <v>9855</v>
      </c>
      <c r="L2355" s="469">
        <v>215145</v>
      </c>
      <c r="M2355" s="302">
        <v>225000</v>
      </c>
      <c r="N2355" s="302">
        <v>225000</v>
      </c>
    </row>
    <row r="2356" spans="1:14" s="20" customFormat="1">
      <c r="A2356" s="244"/>
      <c r="B2356" s="231"/>
      <c r="C2356" s="139" t="s">
        <v>47</v>
      </c>
      <c r="D2356" s="77">
        <v>22020601</v>
      </c>
      <c r="E2356" s="135" t="s">
        <v>766</v>
      </c>
      <c r="F2356" s="140">
        <v>360000</v>
      </c>
      <c r="G2356" s="302">
        <v>360000</v>
      </c>
      <c r="H2356" s="302"/>
      <c r="I2356" s="302"/>
      <c r="J2356" s="28">
        <v>360000</v>
      </c>
      <c r="K2356" s="488">
        <f t="shared" si="400"/>
        <v>15768</v>
      </c>
      <c r="L2356" s="469">
        <v>344232</v>
      </c>
      <c r="M2356" s="302">
        <v>360000</v>
      </c>
      <c r="N2356" s="302">
        <v>360000</v>
      </c>
    </row>
    <row r="2357" spans="1:14" s="20" customFormat="1">
      <c r="A2357" s="244"/>
      <c r="B2357" s="231"/>
      <c r="C2357" s="139" t="s">
        <v>47</v>
      </c>
      <c r="D2357" s="77">
        <v>22020709</v>
      </c>
      <c r="E2357" s="135" t="s">
        <v>771</v>
      </c>
      <c r="F2357" s="140">
        <v>500000</v>
      </c>
      <c r="G2357" s="302">
        <v>350000</v>
      </c>
      <c r="H2357" s="302"/>
      <c r="I2357" s="302"/>
      <c r="J2357" s="28">
        <v>350000</v>
      </c>
      <c r="K2357" s="488">
        <f t="shared" si="400"/>
        <v>15330</v>
      </c>
      <c r="L2357" s="469">
        <v>334670</v>
      </c>
      <c r="M2357" s="302">
        <v>500000</v>
      </c>
      <c r="N2357" s="302">
        <v>500000</v>
      </c>
    </row>
    <row r="2358" spans="1:14" s="20" customFormat="1">
      <c r="A2358" s="244"/>
      <c r="B2358" s="231"/>
      <c r="C2358" s="139" t="s">
        <v>47</v>
      </c>
      <c r="D2358" s="77">
        <v>22020801</v>
      </c>
      <c r="E2358" s="135" t="s">
        <v>747</v>
      </c>
      <c r="F2358" s="140">
        <v>486250</v>
      </c>
      <c r="G2358" s="302">
        <v>486250</v>
      </c>
      <c r="H2358" s="302">
        <v>88740</v>
      </c>
      <c r="I2358" s="302"/>
      <c r="J2358" s="28">
        <v>574990</v>
      </c>
      <c r="K2358" s="488">
        <f t="shared" si="400"/>
        <v>25184.561999999998</v>
      </c>
      <c r="L2358" s="469">
        <v>549805.43800000008</v>
      </c>
      <c r="M2358" s="302">
        <v>661200</v>
      </c>
      <c r="N2358" s="302">
        <v>661200</v>
      </c>
    </row>
    <row r="2359" spans="1:14" s="20" customFormat="1">
      <c r="A2359" s="244"/>
      <c r="B2359" s="231"/>
      <c r="C2359" s="139" t="s">
        <v>47</v>
      </c>
      <c r="D2359" s="77">
        <v>22020803</v>
      </c>
      <c r="E2359" s="135" t="s">
        <v>748</v>
      </c>
      <c r="F2359" s="140">
        <v>319800</v>
      </c>
      <c r="G2359" s="302">
        <v>319800</v>
      </c>
      <c r="H2359" s="302"/>
      <c r="I2359" s="302"/>
      <c r="J2359" s="28">
        <v>319800</v>
      </c>
      <c r="K2359" s="488">
        <f t="shared" si="400"/>
        <v>14007.24</v>
      </c>
      <c r="L2359" s="469">
        <v>305792.76</v>
      </c>
      <c r="M2359" s="302">
        <v>319800</v>
      </c>
      <c r="N2359" s="302">
        <v>319800</v>
      </c>
    </row>
    <row r="2360" spans="1:14" s="20" customFormat="1">
      <c r="A2360" s="244"/>
      <c r="B2360" s="231"/>
      <c r="C2360" s="139" t="s">
        <v>47</v>
      </c>
      <c r="D2360" s="77">
        <v>22021001</v>
      </c>
      <c r="E2360" s="135" t="s">
        <v>772</v>
      </c>
      <c r="F2360" s="140">
        <v>594000</v>
      </c>
      <c r="G2360" s="302">
        <v>594000</v>
      </c>
      <c r="H2360" s="302">
        <v>671500</v>
      </c>
      <c r="I2360" s="302"/>
      <c r="J2360" s="28">
        <v>1265500</v>
      </c>
      <c r="K2360" s="488">
        <f t="shared" si="400"/>
        <v>55428.9</v>
      </c>
      <c r="L2360" s="469">
        <v>1210071.1000000001</v>
      </c>
      <c r="M2360" s="302">
        <v>394000</v>
      </c>
      <c r="N2360" s="302">
        <v>554000</v>
      </c>
    </row>
    <row r="2361" spans="1:14" s="20" customFormat="1">
      <c r="A2361" s="244"/>
      <c r="B2361" s="231"/>
      <c r="C2361" s="139" t="s">
        <v>47</v>
      </c>
      <c r="D2361" s="77">
        <v>22021014</v>
      </c>
      <c r="E2361" s="135" t="s">
        <v>800</v>
      </c>
      <c r="F2361" s="140">
        <v>72800</v>
      </c>
      <c r="G2361" s="302">
        <v>72800</v>
      </c>
      <c r="H2361" s="302"/>
      <c r="I2361" s="302"/>
      <c r="J2361" s="28">
        <v>72800</v>
      </c>
      <c r="K2361" s="488">
        <f t="shared" si="400"/>
        <v>3188.64</v>
      </c>
      <c r="L2361" s="469">
        <v>69611.360000000001</v>
      </c>
      <c r="M2361" s="302">
        <v>72800</v>
      </c>
      <c r="N2361" s="302">
        <v>72800</v>
      </c>
    </row>
    <row r="2362" spans="1:14" s="20" customFormat="1">
      <c r="A2362" s="244"/>
      <c r="B2362" s="231"/>
      <c r="C2362" s="139" t="s">
        <v>47</v>
      </c>
      <c r="D2362" s="77">
        <v>22020305</v>
      </c>
      <c r="E2362" s="135" t="s">
        <v>755</v>
      </c>
      <c r="F2362" s="140"/>
      <c r="G2362" s="302"/>
      <c r="H2362" s="302">
        <v>1583000</v>
      </c>
      <c r="I2362" s="302"/>
      <c r="J2362" s="28">
        <v>1583000</v>
      </c>
      <c r="K2362" s="488">
        <f t="shared" si="400"/>
        <v>69335.399999999994</v>
      </c>
      <c r="L2362" s="469">
        <v>1513664.6</v>
      </c>
      <c r="M2362" s="302"/>
      <c r="N2362" s="302"/>
    </row>
    <row r="2363" spans="1:14" s="20" customFormat="1">
      <c r="A2363" s="244"/>
      <c r="B2363" s="231"/>
      <c r="C2363" s="139" t="s">
        <v>47</v>
      </c>
      <c r="D2363" s="77">
        <v>22020315</v>
      </c>
      <c r="E2363" s="135" t="s">
        <v>2617</v>
      </c>
      <c r="F2363" s="140"/>
      <c r="G2363" s="302"/>
      <c r="H2363" s="302">
        <v>588000</v>
      </c>
      <c r="I2363" s="302"/>
      <c r="J2363" s="28">
        <v>588000</v>
      </c>
      <c r="K2363" s="488">
        <f t="shared" si="400"/>
        <v>25754.399999999998</v>
      </c>
      <c r="L2363" s="469">
        <v>562245.6</v>
      </c>
      <c r="M2363" s="302"/>
      <c r="N2363" s="302"/>
    </row>
    <row r="2364" spans="1:14" s="20" customFormat="1">
      <c r="A2364" s="244"/>
      <c r="B2364" s="231"/>
      <c r="C2364" s="139" t="s">
        <v>47</v>
      </c>
      <c r="D2364" s="77">
        <v>22020411</v>
      </c>
      <c r="E2364" s="135" t="s">
        <v>2618</v>
      </c>
      <c r="F2364" s="140"/>
      <c r="G2364" s="302"/>
      <c r="H2364" s="302">
        <v>1040000</v>
      </c>
      <c r="I2364" s="302"/>
      <c r="J2364" s="28">
        <v>1040000</v>
      </c>
      <c r="K2364" s="488">
        <f t="shared" si="400"/>
        <v>45552</v>
      </c>
      <c r="L2364" s="469">
        <v>994448</v>
      </c>
      <c r="M2364" s="302"/>
      <c r="N2364" s="302"/>
    </row>
    <row r="2365" spans="1:14" s="20" customFormat="1">
      <c r="A2365" s="244"/>
      <c r="B2365" s="231"/>
      <c r="C2365" s="139" t="s">
        <v>47</v>
      </c>
      <c r="D2365" s="77">
        <v>22020605</v>
      </c>
      <c r="E2365" s="135" t="s">
        <v>2620</v>
      </c>
      <c r="F2365" s="140"/>
      <c r="G2365" s="302"/>
      <c r="H2365" s="302">
        <v>36000</v>
      </c>
      <c r="I2365" s="302"/>
      <c r="J2365" s="28">
        <v>36000</v>
      </c>
      <c r="K2365" s="488">
        <f t="shared" si="400"/>
        <v>1576.8</v>
      </c>
      <c r="L2365" s="469">
        <v>34423.200000000004</v>
      </c>
      <c r="M2365" s="302"/>
      <c r="N2365" s="302"/>
    </row>
    <row r="2366" spans="1:14" s="20" customFormat="1">
      <c r="A2366" s="244"/>
      <c r="B2366" s="231"/>
      <c r="C2366" s="139" t="s">
        <v>47</v>
      </c>
      <c r="D2366" s="77">
        <v>22020708</v>
      </c>
      <c r="E2366" s="135" t="s">
        <v>1065</v>
      </c>
      <c r="F2366" s="140"/>
      <c r="G2366" s="302"/>
      <c r="H2366" s="302">
        <v>300000</v>
      </c>
      <c r="I2366" s="302"/>
      <c r="J2366" s="28">
        <v>300000</v>
      </c>
      <c r="K2366" s="488">
        <f t="shared" si="400"/>
        <v>13140</v>
      </c>
      <c r="L2366" s="469">
        <v>286860</v>
      </c>
      <c r="M2366" s="302"/>
      <c r="N2366" s="302"/>
    </row>
    <row r="2367" spans="1:14" s="20" customFormat="1">
      <c r="A2367" s="244"/>
      <c r="B2367" s="231"/>
      <c r="C2367" s="139" t="s">
        <v>47</v>
      </c>
      <c r="D2367" s="77">
        <v>22021002</v>
      </c>
      <c r="E2367" s="135" t="s">
        <v>2621</v>
      </c>
      <c r="F2367" s="140"/>
      <c r="G2367" s="302"/>
      <c r="H2367" s="302">
        <v>4680000</v>
      </c>
      <c r="I2367" s="302"/>
      <c r="J2367" s="28">
        <v>4680000</v>
      </c>
      <c r="K2367" s="488">
        <f t="shared" si="400"/>
        <v>204984</v>
      </c>
      <c r="L2367" s="469">
        <v>4475016</v>
      </c>
      <c r="M2367" s="302"/>
      <c r="N2367" s="302"/>
    </row>
    <row r="2368" spans="1:14" s="20" customFormat="1">
      <c r="A2368" s="244"/>
      <c r="B2368" s="231"/>
      <c r="C2368" s="139" t="s">
        <v>47</v>
      </c>
      <c r="D2368" s="77">
        <v>22021003</v>
      </c>
      <c r="E2368" s="135" t="s">
        <v>2622</v>
      </c>
      <c r="F2368" s="140"/>
      <c r="G2368" s="302"/>
      <c r="H2368" s="302">
        <v>3200000</v>
      </c>
      <c r="I2368" s="302"/>
      <c r="J2368" s="28">
        <v>3200000</v>
      </c>
      <c r="K2368" s="488">
        <f t="shared" si="400"/>
        <v>140160</v>
      </c>
      <c r="L2368" s="469">
        <v>3059840</v>
      </c>
      <c r="M2368" s="302"/>
      <c r="N2368" s="302"/>
    </row>
    <row r="2369" spans="1:14" s="20" customFormat="1">
      <c r="A2369" s="244"/>
      <c r="B2369" s="231"/>
      <c r="C2369" s="139" t="s">
        <v>47</v>
      </c>
      <c r="D2369" s="77">
        <v>22021026</v>
      </c>
      <c r="E2369" s="135" t="s">
        <v>966</v>
      </c>
      <c r="F2369" s="140"/>
      <c r="G2369" s="302"/>
      <c r="H2369" s="302">
        <v>480000</v>
      </c>
      <c r="I2369" s="302"/>
      <c r="J2369" s="28">
        <v>480000</v>
      </c>
      <c r="K2369" s="488">
        <f t="shared" si="400"/>
        <v>21024</v>
      </c>
      <c r="L2369" s="469">
        <v>458976</v>
      </c>
      <c r="M2369" s="302"/>
      <c r="N2369" s="302"/>
    </row>
    <row r="2370" spans="1:14" s="20" customFormat="1">
      <c r="A2370" s="238"/>
      <c r="B2370" s="231"/>
      <c r="C2370" s="30" t="s">
        <v>1839</v>
      </c>
      <c r="D2370" s="23"/>
      <c r="E2370" s="25"/>
      <c r="F2370" s="137">
        <f>SUM(F2345:F2361)</f>
        <v>4800000</v>
      </c>
      <c r="G2370" s="114">
        <f t="shared" ref="G2370:M2370" si="401">SUM(G2345:G2369)</f>
        <v>3810000</v>
      </c>
      <c r="H2370" s="114">
        <f t="shared" si="401"/>
        <v>15447600</v>
      </c>
      <c r="I2370" s="114">
        <f t="shared" si="401"/>
        <v>0</v>
      </c>
      <c r="J2370" s="114">
        <f t="shared" si="401"/>
        <v>19257600</v>
      </c>
      <c r="K2370" s="490">
        <f t="shared" si="400"/>
        <v>843482.88</v>
      </c>
      <c r="L2370" s="468">
        <f t="shared" si="401"/>
        <v>18414117.120000001</v>
      </c>
      <c r="M2370" s="114">
        <f t="shared" si="401"/>
        <v>4911950</v>
      </c>
      <c r="N2370" s="114">
        <f>SUM(N2345:N2365)</f>
        <v>5108950</v>
      </c>
    </row>
    <row r="2371" spans="1:14" s="66" customFormat="1" ht="30">
      <c r="A2371" s="238" t="s">
        <v>1074</v>
      </c>
      <c r="B2371" s="231" t="s">
        <v>1835</v>
      </c>
      <c r="C2371" s="30"/>
      <c r="D2371" s="23"/>
      <c r="E2371" s="25"/>
      <c r="F2371" s="137">
        <f t="shared" ref="F2371:N2371" si="402">F2370+F2344</f>
        <v>57017273.563099995</v>
      </c>
      <c r="G2371" s="114">
        <f t="shared" si="402"/>
        <v>56027273.563099995</v>
      </c>
      <c r="H2371" s="114">
        <f t="shared" si="402"/>
        <v>16963600</v>
      </c>
      <c r="I2371" s="114">
        <f t="shared" si="402"/>
        <v>0</v>
      </c>
      <c r="J2371" s="114">
        <f>J2370+J2344</f>
        <v>72990873.563099995</v>
      </c>
      <c r="K2371" s="490"/>
      <c r="L2371" s="468">
        <f>L2370+L2344</f>
        <v>72147390.6831</v>
      </c>
      <c r="M2371" s="114">
        <f t="shared" si="402"/>
        <v>69081336.673273027</v>
      </c>
      <c r="N2371" s="114">
        <f t="shared" si="402"/>
        <v>71178109.443071157</v>
      </c>
    </row>
    <row r="2372" spans="1:14" s="20" customFormat="1" ht="21">
      <c r="A2372" s="252"/>
      <c r="B2372" s="443"/>
      <c r="C2372" s="228"/>
      <c r="D2372" s="229"/>
      <c r="E2372" s="230"/>
      <c r="F2372" s="215"/>
      <c r="G2372" s="296"/>
      <c r="H2372" s="296"/>
      <c r="I2372" s="296"/>
      <c r="J2372" s="28"/>
      <c r="K2372" s="488"/>
      <c r="L2372" s="468"/>
      <c r="M2372" s="296"/>
      <c r="N2372" s="296"/>
    </row>
    <row r="2373" spans="1:14" s="20" customFormat="1" ht="30">
      <c r="A2373" s="245" t="s">
        <v>1075</v>
      </c>
      <c r="B2373" s="231" t="s">
        <v>1788</v>
      </c>
      <c r="C2373" s="139" t="s">
        <v>46</v>
      </c>
      <c r="D2373" s="77">
        <v>21010101</v>
      </c>
      <c r="E2373" s="135" t="s">
        <v>725</v>
      </c>
      <c r="F2373" s="217">
        <v>85947450</v>
      </c>
      <c r="G2373" s="298">
        <v>85947450</v>
      </c>
      <c r="H2373" s="298"/>
      <c r="I2373" s="298"/>
      <c r="J2373" s="28">
        <v>85947450</v>
      </c>
      <c r="K2373" s="488"/>
      <c r="L2373" s="467">
        <v>85947450</v>
      </c>
      <c r="M2373" s="298">
        <v>85947450</v>
      </c>
      <c r="N2373" s="298">
        <v>85947450</v>
      </c>
    </row>
    <row r="2374" spans="1:14" s="20" customFormat="1">
      <c r="A2374" s="238"/>
      <c r="B2374" s="231"/>
      <c r="C2374" s="30" t="s">
        <v>1836</v>
      </c>
      <c r="D2374" s="23"/>
      <c r="E2374" s="25"/>
      <c r="F2374" s="137">
        <f>SUM(F2373)</f>
        <v>85947450</v>
      </c>
      <c r="G2374" s="114">
        <f>SUM(G2373)</f>
        <v>85947450</v>
      </c>
      <c r="H2374" s="114">
        <f t="shared" ref="H2374:I2374" si="403">SUM(H2373)</f>
        <v>0</v>
      </c>
      <c r="I2374" s="114">
        <f t="shared" si="403"/>
        <v>0</v>
      </c>
      <c r="J2374" s="114">
        <f>SUM(J2373)</f>
        <v>85947450</v>
      </c>
      <c r="K2374" s="490"/>
      <c r="L2374" s="468">
        <f>SUM(L2373)</f>
        <v>85947450</v>
      </c>
      <c r="M2374" s="114">
        <f>SUM(M2373)</f>
        <v>85947450</v>
      </c>
      <c r="N2374" s="114">
        <f>SUM(N2373)</f>
        <v>85947450</v>
      </c>
    </row>
    <row r="2375" spans="1:14" s="20" customFormat="1">
      <c r="A2375" s="244"/>
      <c r="B2375" s="231"/>
      <c r="C2375" s="139" t="s">
        <v>47</v>
      </c>
      <c r="D2375" s="77">
        <v>22020105</v>
      </c>
      <c r="E2375" s="135" t="s">
        <v>1733</v>
      </c>
      <c r="F2375" s="217">
        <v>200000</v>
      </c>
      <c r="G2375" s="298">
        <v>200000</v>
      </c>
      <c r="H2375" s="298"/>
      <c r="I2375" s="298"/>
      <c r="J2375" s="28">
        <v>200000</v>
      </c>
      <c r="K2375" s="488">
        <f>J2375*4.38%</f>
        <v>8760</v>
      </c>
      <c r="L2375" s="469">
        <v>191240</v>
      </c>
      <c r="M2375" s="298">
        <v>200000</v>
      </c>
      <c r="N2375" s="298">
        <v>200000</v>
      </c>
    </row>
    <row r="2376" spans="1:14" s="20" customFormat="1">
      <c r="A2376" s="244"/>
      <c r="B2376" s="231"/>
      <c r="C2376" s="139" t="s">
        <v>47</v>
      </c>
      <c r="D2376" s="77">
        <v>22020108</v>
      </c>
      <c r="E2376" s="135" t="s">
        <v>812</v>
      </c>
      <c r="F2376" s="217">
        <v>280000</v>
      </c>
      <c r="G2376" s="298">
        <v>280000</v>
      </c>
      <c r="H2376" s="298"/>
      <c r="I2376" s="298"/>
      <c r="J2376" s="28">
        <v>280000</v>
      </c>
      <c r="K2376" s="488">
        <f t="shared" ref="K2376:K2404" si="404">J2376*4.38%</f>
        <v>12264</v>
      </c>
      <c r="L2376" s="469">
        <v>267736</v>
      </c>
      <c r="M2376" s="298">
        <v>120000</v>
      </c>
      <c r="N2376" s="298">
        <v>120000</v>
      </c>
    </row>
    <row r="2377" spans="1:14" s="20" customFormat="1">
      <c r="A2377" s="244"/>
      <c r="B2377" s="231"/>
      <c r="C2377" s="139" t="s">
        <v>47</v>
      </c>
      <c r="D2377" s="77">
        <v>22020113</v>
      </c>
      <c r="E2377" s="135" t="s">
        <v>870</v>
      </c>
      <c r="F2377" s="217">
        <v>460000</v>
      </c>
      <c r="G2377" s="298">
        <f>460000+90000</f>
        <v>550000</v>
      </c>
      <c r="H2377" s="298">
        <v>2400000</v>
      </c>
      <c r="I2377" s="298"/>
      <c r="J2377" s="28">
        <v>2950000</v>
      </c>
      <c r="K2377" s="488">
        <f t="shared" si="404"/>
        <v>129210</v>
      </c>
      <c r="L2377" s="469">
        <v>2820790</v>
      </c>
      <c r="M2377" s="298">
        <v>460000</v>
      </c>
      <c r="N2377" s="298">
        <v>460000</v>
      </c>
    </row>
    <row r="2378" spans="1:14" s="20" customFormat="1">
      <c r="A2378" s="244"/>
      <c r="B2378" s="231"/>
      <c r="C2378" s="139" t="s">
        <v>47</v>
      </c>
      <c r="D2378" s="77">
        <v>22020202</v>
      </c>
      <c r="E2378" s="135" t="s">
        <v>865</v>
      </c>
      <c r="F2378" s="217">
        <v>75000</v>
      </c>
      <c r="G2378" s="298">
        <v>75000</v>
      </c>
      <c r="H2378" s="298"/>
      <c r="I2378" s="298"/>
      <c r="J2378" s="28">
        <v>75000</v>
      </c>
      <c r="K2378" s="488">
        <f t="shared" si="404"/>
        <v>3285</v>
      </c>
      <c r="L2378" s="469">
        <v>71715</v>
      </c>
      <c r="M2378" s="298">
        <v>120000</v>
      </c>
      <c r="N2378" s="298">
        <v>150000</v>
      </c>
    </row>
    <row r="2379" spans="1:14" s="20" customFormat="1">
      <c r="A2379" s="244"/>
      <c r="B2379" s="231"/>
      <c r="C2379" s="139" t="s">
        <v>47</v>
      </c>
      <c r="D2379" s="77">
        <v>22020203</v>
      </c>
      <c r="E2379" s="135" t="s">
        <v>779</v>
      </c>
      <c r="F2379" s="217">
        <v>530000</v>
      </c>
      <c r="G2379" s="298">
        <f>530000+90000</f>
        <v>620000</v>
      </c>
      <c r="H2379" s="298"/>
      <c r="I2379" s="298"/>
      <c r="J2379" s="28">
        <v>620000</v>
      </c>
      <c r="K2379" s="488">
        <f t="shared" si="404"/>
        <v>27156</v>
      </c>
      <c r="L2379" s="469">
        <v>592844</v>
      </c>
      <c r="M2379" s="298">
        <v>605000</v>
      </c>
      <c r="N2379" s="298">
        <v>605000</v>
      </c>
    </row>
    <row r="2380" spans="1:14" s="20" customFormat="1">
      <c r="A2380" s="244"/>
      <c r="B2380" s="231"/>
      <c r="C2380" s="139" t="s">
        <v>47</v>
      </c>
      <c r="D2380" s="77">
        <v>22020206</v>
      </c>
      <c r="E2380" s="135" t="s">
        <v>764</v>
      </c>
      <c r="F2380" s="217">
        <v>740000</v>
      </c>
      <c r="G2380" s="298">
        <v>740000</v>
      </c>
      <c r="H2380" s="298"/>
      <c r="I2380" s="298"/>
      <c r="J2380" s="28">
        <v>740000</v>
      </c>
      <c r="K2380" s="488">
        <f t="shared" si="404"/>
        <v>32412</v>
      </c>
      <c r="L2380" s="469">
        <v>707588</v>
      </c>
      <c r="M2380" s="298">
        <v>740000</v>
      </c>
      <c r="N2380" s="298">
        <v>740000</v>
      </c>
    </row>
    <row r="2381" spans="1:14" s="20" customFormat="1">
      <c r="A2381" s="244"/>
      <c r="B2381" s="231"/>
      <c r="C2381" s="139" t="s">
        <v>47</v>
      </c>
      <c r="D2381" s="77">
        <v>22020301</v>
      </c>
      <c r="E2381" s="135" t="s">
        <v>737</v>
      </c>
      <c r="F2381" s="217">
        <v>688000</v>
      </c>
      <c r="G2381" s="298">
        <v>688000</v>
      </c>
      <c r="H2381" s="298"/>
      <c r="I2381" s="298"/>
      <c r="J2381" s="28">
        <v>688000</v>
      </c>
      <c r="K2381" s="488">
        <f t="shared" si="404"/>
        <v>30134.399999999998</v>
      </c>
      <c r="L2381" s="469">
        <v>657865.6</v>
      </c>
      <c r="M2381" s="298">
        <v>688000</v>
      </c>
      <c r="N2381" s="298">
        <v>688000</v>
      </c>
    </row>
    <row r="2382" spans="1:14" s="20" customFormat="1">
      <c r="A2382" s="244"/>
      <c r="B2382" s="231"/>
      <c r="C2382" s="139" t="s">
        <v>47</v>
      </c>
      <c r="D2382" s="77">
        <v>22020303</v>
      </c>
      <c r="E2382" s="135" t="s">
        <v>738</v>
      </c>
      <c r="F2382" s="217">
        <v>91250</v>
      </c>
      <c r="G2382" s="298">
        <v>91250</v>
      </c>
      <c r="H2382" s="298"/>
      <c r="I2382" s="298"/>
      <c r="J2382" s="28">
        <v>91250</v>
      </c>
      <c r="K2382" s="488">
        <f t="shared" si="404"/>
        <v>3996.75</v>
      </c>
      <c r="L2382" s="469">
        <v>87253.25</v>
      </c>
      <c r="M2382" s="298">
        <v>91250</v>
      </c>
      <c r="N2382" s="298">
        <v>91250</v>
      </c>
    </row>
    <row r="2383" spans="1:14" s="20" customFormat="1">
      <c r="A2383" s="244"/>
      <c r="B2383" s="231"/>
      <c r="C2383" s="139" t="s">
        <v>47</v>
      </c>
      <c r="D2383" s="77">
        <v>22020305</v>
      </c>
      <c r="E2383" s="135" t="s">
        <v>755</v>
      </c>
      <c r="F2383" s="217">
        <v>150000</v>
      </c>
      <c r="G2383" s="298">
        <v>150000</v>
      </c>
      <c r="H2383" s="298"/>
      <c r="I2383" s="298"/>
      <c r="J2383" s="28">
        <v>150000</v>
      </c>
      <c r="K2383" s="488">
        <f t="shared" si="404"/>
        <v>6570</v>
      </c>
      <c r="L2383" s="469">
        <v>143430</v>
      </c>
      <c r="M2383" s="298">
        <v>150000</v>
      </c>
      <c r="N2383" s="298">
        <v>150000</v>
      </c>
    </row>
    <row r="2384" spans="1:14" s="20" customFormat="1">
      <c r="A2384" s="244"/>
      <c r="B2384" s="231"/>
      <c r="C2384" s="139" t="s">
        <v>47</v>
      </c>
      <c r="D2384" s="77">
        <v>22020306</v>
      </c>
      <c r="E2384" s="135" t="s">
        <v>765</v>
      </c>
      <c r="F2384" s="217">
        <v>70000</v>
      </c>
      <c r="G2384" s="298">
        <v>70000</v>
      </c>
      <c r="H2384" s="298"/>
      <c r="I2384" s="298"/>
      <c r="J2384" s="28">
        <v>70000</v>
      </c>
      <c r="K2384" s="488">
        <f t="shared" si="404"/>
        <v>3066</v>
      </c>
      <c r="L2384" s="469">
        <v>66934</v>
      </c>
      <c r="M2384" s="298">
        <v>70000</v>
      </c>
      <c r="N2384" s="298">
        <v>70000</v>
      </c>
    </row>
    <row r="2385" spans="1:14" s="20" customFormat="1">
      <c r="A2385" s="244"/>
      <c r="B2385" s="231"/>
      <c r="C2385" s="139" t="s">
        <v>47</v>
      </c>
      <c r="D2385" s="77">
        <v>22020309</v>
      </c>
      <c r="E2385" s="135" t="s">
        <v>739</v>
      </c>
      <c r="F2385" s="217">
        <v>40000</v>
      </c>
      <c r="G2385" s="298">
        <v>40000</v>
      </c>
      <c r="H2385" s="298"/>
      <c r="I2385" s="298"/>
      <c r="J2385" s="28">
        <v>40000</v>
      </c>
      <c r="K2385" s="488">
        <f t="shared" si="404"/>
        <v>1752</v>
      </c>
      <c r="L2385" s="469">
        <v>38248</v>
      </c>
      <c r="M2385" s="298">
        <v>40000</v>
      </c>
      <c r="N2385" s="298">
        <v>40000</v>
      </c>
    </row>
    <row r="2386" spans="1:14" s="20" customFormat="1">
      <c r="A2386" s="244"/>
      <c r="B2386" s="231"/>
      <c r="C2386" s="139" t="s">
        <v>47</v>
      </c>
      <c r="D2386" s="77">
        <v>22020310</v>
      </c>
      <c r="E2386" s="135" t="s">
        <v>819</v>
      </c>
      <c r="F2386" s="217">
        <v>111000</v>
      </c>
      <c r="G2386" s="298">
        <v>111000</v>
      </c>
      <c r="H2386" s="298"/>
      <c r="I2386" s="298"/>
      <c r="J2386" s="28">
        <v>111000</v>
      </c>
      <c r="K2386" s="488">
        <f t="shared" si="404"/>
        <v>4861.8</v>
      </c>
      <c r="L2386" s="469">
        <v>106138.20000000001</v>
      </c>
      <c r="M2386" s="298">
        <v>111000</v>
      </c>
      <c r="N2386" s="298">
        <v>111000</v>
      </c>
    </row>
    <row r="2387" spans="1:14" s="20" customFormat="1">
      <c r="A2387" s="244"/>
      <c r="B2387" s="231"/>
      <c r="C2387" s="139" t="s">
        <v>47</v>
      </c>
      <c r="D2387" s="77">
        <v>22020312</v>
      </c>
      <c r="E2387" s="135" t="s">
        <v>797</v>
      </c>
      <c r="F2387" s="217">
        <v>128000</v>
      </c>
      <c r="G2387" s="298">
        <v>128000</v>
      </c>
      <c r="H2387" s="298"/>
      <c r="I2387" s="298"/>
      <c r="J2387" s="28">
        <v>128000</v>
      </c>
      <c r="K2387" s="488">
        <f t="shared" si="404"/>
        <v>5606.4</v>
      </c>
      <c r="L2387" s="469">
        <v>122393.60000000001</v>
      </c>
      <c r="M2387" s="298">
        <v>128000</v>
      </c>
      <c r="N2387" s="298">
        <v>128000</v>
      </c>
    </row>
    <row r="2388" spans="1:14" s="20" customFormat="1">
      <c r="A2388" s="244"/>
      <c r="B2388" s="231"/>
      <c r="C2388" s="139" t="s">
        <v>47</v>
      </c>
      <c r="D2388" s="77">
        <v>22020315</v>
      </c>
      <c r="E2388" s="135" t="s">
        <v>740</v>
      </c>
      <c r="F2388" s="217">
        <v>147500</v>
      </c>
      <c r="G2388" s="298">
        <v>147500</v>
      </c>
      <c r="H2388" s="298"/>
      <c r="I2388" s="298"/>
      <c r="J2388" s="28">
        <v>147500</v>
      </c>
      <c r="K2388" s="488">
        <f t="shared" si="404"/>
        <v>6460.5</v>
      </c>
      <c r="L2388" s="469">
        <v>141039.5</v>
      </c>
      <c r="M2388" s="298">
        <v>147500</v>
      </c>
      <c r="N2388" s="298">
        <v>147500</v>
      </c>
    </row>
    <row r="2389" spans="1:14" s="20" customFormat="1">
      <c r="A2389" s="244"/>
      <c r="B2389" s="231"/>
      <c r="C2389" s="139" t="s">
        <v>47</v>
      </c>
      <c r="D2389" s="77">
        <v>22020401</v>
      </c>
      <c r="E2389" s="135" t="s">
        <v>741</v>
      </c>
      <c r="F2389" s="217">
        <v>579000</v>
      </c>
      <c r="G2389" s="298">
        <v>579000</v>
      </c>
      <c r="H2389" s="298"/>
      <c r="I2389" s="298"/>
      <c r="J2389" s="28">
        <v>579000</v>
      </c>
      <c r="K2389" s="488">
        <f t="shared" si="404"/>
        <v>25360.2</v>
      </c>
      <c r="L2389" s="469">
        <v>553639.80000000005</v>
      </c>
      <c r="M2389" s="298">
        <v>579000</v>
      </c>
      <c r="N2389" s="298">
        <v>579000</v>
      </c>
    </row>
    <row r="2390" spans="1:14" s="20" customFormat="1">
      <c r="A2390" s="244"/>
      <c r="B2390" s="231"/>
      <c r="C2390" s="139" t="s">
        <v>47</v>
      </c>
      <c r="D2390" s="77">
        <v>22020402</v>
      </c>
      <c r="E2390" s="135" t="s">
        <v>757</v>
      </c>
      <c r="F2390" s="217">
        <v>87500</v>
      </c>
      <c r="G2390" s="298">
        <v>87500</v>
      </c>
      <c r="H2390" s="298"/>
      <c r="I2390" s="298"/>
      <c r="J2390" s="28">
        <v>87500</v>
      </c>
      <c r="K2390" s="488">
        <f t="shared" si="404"/>
        <v>3832.5</v>
      </c>
      <c r="L2390" s="469">
        <v>83667.5</v>
      </c>
      <c r="M2390" s="298">
        <v>87500</v>
      </c>
      <c r="N2390" s="298">
        <v>87500</v>
      </c>
    </row>
    <row r="2391" spans="1:14" s="20" customFormat="1">
      <c r="A2391" s="244"/>
      <c r="B2391" s="231"/>
      <c r="C2391" s="139" t="s">
        <v>47</v>
      </c>
      <c r="D2391" s="77">
        <v>22020405</v>
      </c>
      <c r="E2391" s="135" t="s">
        <v>743</v>
      </c>
      <c r="F2391" s="217">
        <v>308000</v>
      </c>
      <c r="G2391" s="298">
        <v>308000</v>
      </c>
      <c r="H2391" s="298"/>
      <c r="I2391" s="298"/>
      <c r="J2391" s="28">
        <v>308000</v>
      </c>
      <c r="K2391" s="488">
        <f t="shared" si="404"/>
        <v>13490.4</v>
      </c>
      <c r="L2391" s="469">
        <v>294509.60000000003</v>
      </c>
      <c r="M2391" s="298">
        <v>398000</v>
      </c>
      <c r="N2391" s="298">
        <v>398000</v>
      </c>
    </row>
    <row r="2392" spans="1:14" s="20" customFormat="1">
      <c r="A2392" s="244"/>
      <c r="B2392" s="231"/>
      <c r="C2392" s="139" t="s">
        <v>47</v>
      </c>
      <c r="D2392" s="77">
        <v>22020504</v>
      </c>
      <c r="E2392" s="135" t="s">
        <v>897</v>
      </c>
      <c r="F2392" s="217">
        <v>420000</v>
      </c>
      <c r="G2392" s="298">
        <v>420000</v>
      </c>
      <c r="H2392" s="298">
        <v>2630000</v>
      </c>
      <c r="I2392" s="298"/>
      <c r="J2392" s="28">
        <v>3050000</v>
      </c>
      <c r="K2392" s="488">
        <f t="shared" si="404"/>
        <v>133590</v>
      </c>
      <c r="L2392" s="469">
        <v>2916410</v>
      </c>
      <c r="M2392" s="298">
        <v>420000</v>
      </c>
      <c r="N2392" s="298">
        <v>0</v>
      </c>
    </row>
    <row r="2393" spans="1:14" s="20" customFormat="1">
      <c r="A2393" s="244"/>
      <c r="B2393" s="231"/>
      <c r="C2393" s="139" t="s">
        <v>47</v>
      </c>
      <c r="D2393" s="77">
        <v>22020506</v>
      </c>
      <c r="E2393" s="135" t="s">
        <v>783</v>
      </c>
      <c r="F2393" s="217">
        <v>400000</v>
      </c>
      <c r="G2393" s="298">
        <v>400000</v>
      </c>
      <c r="H2393" s="298"/>
      <c r="I2393" s="298"/>
      <c r="J2393" s="28">
        <v>400000</v>
      </c>
      <c r="K2393" s="488">
        <f t="shared" si="404"/>
        <v>17520</v>
      </c>
      <c r="L2393" s="469">
        <v>382480</v>
      </c>
      <c r="M2393" s="298">
        <v>400000</v>
      </c>
      <c r="N2393" s="298">
        <v>400000</v>
      </c>
    </row>
    <row r="2394" spans="1:14" s="20" customFormat="1">
      <c r="A2394" s="244"/>
      <c r="B2394" s="231"/>
      <c r="C2394" s="139" t="s">
        <v>47</v>
      </c>
      <c r="D2394" s="77">
        <v>22020601</v>
      </c>
      <c r="E2394" s="135" t="s">
        <v>766</v>
      </c>
      <c r="F2394" s="217">
        <v>642000</v>
      </c>
      <c r="G2394" s="298">
        <v>642000</v>
      </c>
      <c r="H2394" s="298"/>
      <c r="I2394" s="298"/>
      <c r="J2394" s="28">
        <v>642000</v>
      </c>
      <c r="K2394" s="488">
        <f t="shared" si="404"/>
        <v>28119.599999999999</v>
      </c>
      <c r="L2394" s="469">
        <v>613880.4</v>
      </c>
      <c r="M2394" s="298">
        <v>642000</v>
      </c>
      <c r="N2394" s="298">
        <v>642000</v>
      </c>
    </row>
    <row r="2395" spans="1:14" s="20" customFormat="1">
      <c r="A2395" s="244"/>
      <c r="B2395" s="231"/>
      <c r="C2395" s="139" t="s">
        <v>47</v>
      </c>
      <c r="D2395" s="77">
        <v>22020709</v>
      </c>
      <c r="E2395" s="135" t="s">
        <v>771</v>
      </c>
      <c r="F2395" s="217">
        <v>350000</v>
      </c>
      <c r="G2395" s="298">
        <v>350000</v>
      </c>
      <c r="H2395" s="298">
        <v>350000</v>
      </c>
      <c r="I2395" s="298"/>
      <c r="J2395" s="28">
        <v>700000</v>
      </c>
      <c r="K2395" s="488">
        <f t="shared" si="404"/>
        <v>30660</v>
      </c>
      <c r="L2395" s="469">
        <v>669340</v>
      </c>
      <c r="M2395" s="298">
        <v>350000</v>
      </c>
      <c r="N2395" s="298">
        <v>350000</v>
      </c>
    </row>
    <row r="2396" spans="1:14" s="20" customFormat="1">
      <c r="A2396" s="244"/>
      <c r="B2396" s="231"/>
      <c r="C2396" s="139" t="s">
        <v>47</v>
      </c>
      <c r="D2396" s="77">
        <v>22020801</v>
      </c>
      <c r="E2396" s="135" t="s">
        <v>747</v>
      </c>
      <c r="F2396" s="217">
        <v>348000</v>
      </c>
      <c r="G2396" s="298">
        <v>348000</v>
      </c>
      <c r="H2396" s="298"/>
      <c r="I2396" s="298"/>
      <c r="J2396" s="28">
        <v>348000</v>
      </c>
      <c r="K2396" s="488">
        <f t="shared" si="404"/>
        <v>15242.4</v>
      </c>
      <c r="L2396" s="469">
        <v>332757.60000000003</v>
      </c>
      <c r="M2396" s="298">
        <v>348000</v>
      </c>
      <c r="N2396" s="298">
        <v>348000</v>
      </c>
    </row>
    <row r="2397" spans="1:14" s="20" customFormat="1">
      <c r="A2397" s="244"/>
      <c r="B2397" s="231"/>
      <c r="C2397" s="139" t="s">
        <v>47</v>
      </c>
      <c r="D2397" s="77">
        <v>22020803</v>
      </c>
      <c r="E2397" s="135" t="s">
        <v>748</v>
      </c>
      <c r="F2397" s="217">
        <v>276000</v>
      </c>
      <c r="G2397" s="298">
        <v>276000</v>
      </c>
      <c r="H2397" s="298"/>
      <c r="I2397" s="298"/>
      <c r="J2397" s="28">
        <v>276000</v>
      </c>
      <c r="K2397" s="488">
        <f t="shared" si="404"/>
        <v>12088.8</v>
      </c>
      <c r="L2397" s="469">
        <v>263911.2</v>
      </c>
      <c r="M2397" s="298">
        <v>276000</v>
      </c>
      <c r="N2397" s="298">
        <v>276000</v>
      </c>
    </row>
    <row r="2398" spans="1:14" s="20" customFormat="1">
      <c r="A2398" s="244"/>
      <c r="B2398" s="231"/>
      <c r="C2398" s="139" t="s">
        <v>47</v>
      </c>
      <c r="D2398" s="77">
        <v>22020901</v>
      </c>
      <c r="E2398" s="135" t="s">
        <v>749</v>
      </c>
      <c r="F2398" s="217">
        <v>0</v>
      </c>
      <c r="G2398" s="298">
        <v>20000</v>
      </c>
      <c r="H2398" s="298"/>
      <c r="I2398" s="298"/>
      <c r="J2398" s="28">
        <v>20000</v>
      </c>
      <c r="K2398" s="488">
        <f t="shared" si="404"/>
        <v>876</v>
      </c>
      <c r="L2398" s="469">
        <v>19124</v>
      </c>
      <c r="M2398" s="298">
        <v>48000</v>
      </c>
      <c r="N2398" s="298">
        <v>48000</v>
      </c>
    </row>
    <row r="2399" spans="1:14" s="20" customFormat="1">
      <c r="A2399" s="244"/>
      <c r="B2399" s="231"/>
      <c r="C2399" s="139" t="s">
        <v>47</v>
      </c>
      <c r="D2399" s="77">
        <v>22021001</v>
      </c>
      <c r="E2399" s="135" t="s">
        <v>772</v>
      </c>
      <c r="F2399" s="217">
        <v>887000</v>
      </c>
      <c r="G2399" s="298">
        <v>887000</v>
      </c>
      <c r="H2399" s="298"/>
      <c r="I2399" s="298"/>
      <c r="J2399" s="28">
        <v>887000</v>
      </c>
      <c r="K2399" s="488">
        <f t="shared" si="404"/>
        <v>38850.6</v>
      </c>
      <c r="L2399" s="469">
        <v>848149.4</v>
      </c>
      <c r="M2399" s="298">
        <v>967000</v>
      </c>
      <c r="N2399" s="298">
        <v>967000</v>
      </c>
    </row>
    <row r="2400" spans="1:14" s="20" customFormat="1">
      <c r="A2400" s="244"/>
      <c r="B2400" s="231"/>
      <c r="C2400" s="139" t="s">
        <v>47</v>
      </c>
      <c r="D2400" s="77">
        <v>22021002</v>
      </c>
      <c r="E2400" s="135" t="s">
        <v>805</v>
      </c>
      <c r="F2400" s="217">
        <v>1920000</v>
      </c>
      <c r="G2400" s="298">
        <v>1920000</v>
      </c>
      <c r="H2400" s="298">
        <v>580000</v>
      </c>
      <c r="I2400" s="298"/>
      <c r="J2400" s="28">
        <v>2500000</v>
      </c>
      <c r="K2400" s="488">
        <f t="shared" si="404"/>
        <v>109500</v>
      </c>
      <c r="L2400" s="469">
        <v>2390500</v>
      </c>
      <c r="M2400" s="298">
        <v>2080000</v>
      </c>
      <c r="N2400" s="298">
        <v>2080000</v>
      </c>
    </row>
    <row r="2401" spans="1:14" s="20" customFormat="1">
      <c r="A2401" s="244"/>
      <c r="B2401" s="231"/>
      <c r="C2401" s="139" t="s">
        <v>47</v>
      </c>
      <c r="D2401" s="77">
        <v>22020619</v>
      </c>
      <c r="E2401" s="135" t="s">
        <v>590</v>
      </c>
      <c r="F2401" s="217"/>
      <c r="G2401" s="298"/>
      <c r="H2401" s="298">
        <v>2150000</v>
      </c>
      <c r="I2401" s="298"/>
      <c r="J2401" s="28">
        <v>2150000</v>
      </c>
      <c r="K2401" s="488">
        <f t="shared" si="404"/>
        <v>94170</v>
      </c>
      <c r="L2401" s="469">
        <v>2055830</v>
      </c>
      <c r="M2401" s="298"/>
      <c r="N2401" s="298"/>
    </row>
    <row r="2402" spans="1:14" s="20" customFormat="1">
      <c r="A2402" s="244"/>
      <c r="B2402" s="231"/>
      <c r="C2402" s="139" t="s">
        <v>47</v>
      </c>
      <c r="D2402" s="77">
        <v>22020620</v>
      </c>
      <c r="E2402" s="135" t="s">
        <v>2611</v>
      </c>
      <c r="F2402" s="217"/>
      <c r="G2402" s="298"/>
      <c r="H2402" s="298">
        <v>2750000</v>
      </c>
      <c r="I2402" s="298"/>
      <c r="J2402" s="28">
        <v>2750000</v>
      </c>
      <c r="K2402" s="488">
        <f t="shared" si="404"/>
        <v>120450</v>
      </c>
      <c r="L2402" s="469">
        <v>2629550</v>
      </c>
      <c r="M2402" s="298"/>
      <c r="N2402" s="298"/>
    </row>
    <row r="2403" spans="1:14" s="20" customFormat="1">
      <c r="A2403" s="244"/>
      <c r="B2403" s="231"/>
      <c r="C2403" s="139" t="s">
        <v>47</v>
      </c>
      <c r="D2403" s="77">
        <v>22020705</v>
      </c>
      <c r="E2403" s="135" t="s">
        <v>938</v>
      </c>
      <c r="F2403" s="217"/>
      <c r="G2403" s="298"/>
      <c r="H2403" s="298">
        <v>450000</v>
      </c>
      <c r="I2403" s="298"/>
      <c r="J2403" s="28">
        <v>450000</v>
      </c>
      <c r="K2403" s="488">
        <f t="shared" si="404"/>
        <v>19710</v>
      </c>
      <c r="L2403" s="469">
        <v>430290</v>
      </c>
      <c r="M2403" s="298"/>
      <c r="N2403" s="298"/>
    </row>
    <row r="2404" spans="1:14" s="20" customFormat="1">
      <c r="A2404" s="238"/>
      <c r="B2404" s="231"/>
      <c r="C2404" s="30" t="s">
        <v>1837</v>
      </c>
      <c r="D2404" s="23"/>
      <c r="E2404" s="25"/>
      <c r="F2404" s="137">
        <f>SUM(F2375:F2400)</f>
        <v>9928250</v>
      </c>
      <c r="G2404" s="114">
        <f>SUM(G2375:G2403)</f>
        <v>10128250</v>
      </c>
      <c r="H2404" s="114">
        <f t="shared" ref="H2404:M2404" si="405">SUM(H2375:H2403)</f>
        <v>11310000</v>
      </c>
      <c r="I2404" s="114">
        <f t="shared" si="405"/>
        <v>0</v>
      </c>
      <c r="J2404" s="114">
        <f>SUM(J2375:J2403)</f>
        <v>21438250</v>
      </c>
      <c r="K2404" s="490">
        <f t="shared" si="404"/>
        <v>938995.35</v>
      </c>
      <c r="L2404" s="468">
        <f>SUM(L2375:L2403)</f>
        <v>20499254.649999999</v>
      </c>
      <c r="M2404" s="114">
        <f t="shared" si="405"/>
        <v>10266250</v>
      </c>
      <c r="N2404" s="114">
        <f>SUM(N2375:N2400)</f>
        <v>9876250</v>
      </c>
    </row>
    <row r="2405" spans="1:14" s="66" customFormat="1" ht="30">
      <c r="A2405" s="238" t="s">
        <v>1075</v>
      </c>
      <c r="B2405" s="231" t="s">
        <v>1834</v>
      </c>
      <c r="C2405" s="30"/>
      <c r="D2405" s="23"/>
      <c r="E2405" s="25"/>
      <c r="F2405" s="137">
        <f>F2404+F2374</f>
        <v>95875700</v>
      </c>
      <c r="G2405" s="114">
        <f>G2404+G2374</f>
        <v>96075700</v>
      </c>
      <c r="H2405" s="114">
        <f t="shared" ref="H2405:M2405" si="406">H2404+H2374</f>
        <v>11310000</v>
      </c>
      <c r="I2405" s="114">
        <f t="shared" si="406"/>
        <v>0</v>
      </c>
      <c r="J2405" s="114">
        <f>J2404+J2374</f>
        <v>107385700</v>
      </c>
      <c r="K2405" s="490"/>
      <c r="L2405" s="468">
        <f>L2404+L2374</f>
        <v>106446704.65000001</v>
      </c>
      <c r="M2405" s="114">
        <f t="shared" si="406"/>
        <v>96213700</v>
      </c>
      <c r="N2405" s="114">
        <f>N2404+N2374</f>
        <v>95823700</v>
      </c>
    </row>
    <row r="2406" spans="1:14" s="20" customFormat="1" ht="21">
      <c r="A2406" s="252"/>
      <c r="B2406" s="443"/>
      <c r="C2406" s="228"/>
      <c r="D2406" s="229"/>
      <c r="E2406" s="230"/>
      <c r="F2406" s="215"/>
      <c r="G2406" s="296"/>
      <c r="H2406" s="296"/>
      <c r="I2406" s="296"/>
      <c r="J2406" s="28"/>
      <c r="K2406" s="488"/>
      <c r="L2406" s="468"/>
      <c r="M2406" s="296"/>
      <c r="N2406" s="296"/>
    </row>
    <row r="2407" spans="1:14" s="20" customFormat="1" ht="30">
      <c r="A2407" s="245" t="s">
        <v>1077</v>
      </c>
      <c r="B2407" s="231" t="s">
        <v>1076</v>
      </c>
      <c r="C2407" s="139" t="s">
        <v>46</v>
      </c>
      <c r="D2407" s="77">
        <v>21010101</v>
      </c>
      <c r="E2407" s="135" t="s">
        <v>725</v>
      </c>
      <c r="F2407" s="217">
        <v>692637286.71000004</v>
      </c>
      <c r="G2407" s="298">
        <v>692637286.71000004</v>
      </c>
      <c r="H2407" s="298"/>
      <c r="I2407" s="298"/>
      <c r="J2407" s="28">
        <v>692637286.71000004</v>
      </c>
      <c r="K2407" s="488"/>
      <c r="L2407" s="467">
        <v>692637286.71000004</v>
      </c>
      <c r="M2407" s="298">
        <f>G2407*10%+G2407</f>
        <v>761901015.38100004</v>
      </c>
      <c r="N2407" s="298">
        <f>M2407*10%+M2407</f>
        <v>838091116.91910005</v>
      </c>
    </row>
    <row r="2408" spans="1:14" s="20" customFormat="1">
      <c r="A2408" s="245"/>
      <c r="B2408" s="231"/>
      <c r="C2408" s="139"/>
      <c r="D2408" s="77">
        <v>21020127</v>
      </c>
      <c r="E2408" s="135" t="s">
        <v>1714</v>
      </c>
      <c r="F2408" s="217"/>
      <c r="G2408" s="298">
        <v>230220472.80000001</v>
      </c>
      <c r="H2408" s="298"/>
      <c r="I2408" s="298"/>
      <c r="J2408" s="28">
        <v>230220472.80000001</v>
      </c>
      <c r="K2408" s="488"/>
      <c r="L2408" s="468">
        <v>230220472.80000001</v>
      </c>
      <c r="M2408" s="410">
        <f>G2408*10%+G2408</f>
        <v>253242520.08000001</v>
      </c>
      <c r="N2408" s="410">
        <f>M2408*10%+M2408</f>
        <v>278566772.088</v>
      </c>
    </row>
    <row r="2409" spans="1:14" s="20" customFormat="1">
      <c r="A2409" s="244"/>
      <c r="B2409" s="231"/>
      <c r="C2409" s="30" t="s">
        <v>1842</v>
      </c>
      <c r="D2409" s="23"/>
      <c r="E2409" s="25"/>
      <c r="F2409" s="137">
        <f>SUM(F2407)</f>
        <v>692637286.71000004</v>
      </c>
      <c r="G2409" s="114">
        <f>SUM(G2407:G2408)</f>
        <v>922857759.50999999</v>
      </c>
      <c r="H2409" s="114">
        <f t="shared" ref="H2409:I2409" si="407">SUM(H2407:H2408)</f>
        <v>0</v>
      </c>
      <c r="I2409" s="114">
        <f t="shared" si="407"/>
        <v>0</v>
      </c>
      <c r="J2409" s="114">
        <f>SUM(J2407:J2408)</f>
        <v>922857759.50999999</v>
      </c>
      <c r="K2409" s="490"/>
      <c r="L2409" s="468">
        <f>SUM(L2407:L2408)</f>
        <v>922857759.50999999</v>
      </c>
      <c r="M2409" s="114">
        <f>SUM(M2407:M2408)</f>
        <v>1015143535.4610001</v>
      </c>
      <c r="N2409" s="114">
        <f>SUM(N2407:N2408)</f>
        <v>1116657889.0071001</v>
      </c>
    </row>
    <row r="2410" spans="1:14" s="20" customFormat="1">
      <c r="A2410" s="244"/>
      <c r="B2410" s="231"/>
      <c r="C2410" s="139" t="s">
        <v>47</v>
      </c>
      <c r="D2410" s="77">
        <v>22020105</v>
      </c>
      <c r="E2410" s="135" t="s">
        <v>1737</v>
      </c>
      <c r="F2410" s="217">
        <v>22830000</v>
      </c>
      <c r="G2410" s="298">
        <v>10000000</v>
      </c>
      <c r="H2410" s="298"/>
      <c r="I2410" s="298"/>
      <c r="J2410" s="28">
        <v>10000000</v>
      </c>
      <c r="K2410" s="488">
        <f>J2410*4.38%</f>
        <v>438000</v>
      </c>
      <c r="L2410" s="469">
        <v>9562000</v>
      </c>
      <c r="M2410" s="298">
        <f t="shared" ref="M2410:M2424" si="408">G2410*10%+G2410</f>
        <v>11000000</v>
      </c>
      <c r="N2410" s="298">
        <f>M2410*10%+M2410</f>
        <v>12100000</v>
      </c>
    </row>
    <row r="2411" spans="1:14" s="20" customFormat="1">
      <c r="A2411" s="244"/>
      <c r="B2411" s="231"/>
      <c r="C2411" s="139" t="s">
        <v>47</v>
      </c>
      <c r="D2411" s="77">
        <v>22020301</v>
      </c>
      <c r="E2411" s="135" t="s">
        <v>737</v>
      </c>
      <c r="F2411" s="217">
        <v>2211642.52</v>
      </c>
      <c r="G2411" s="298">
        <v>2211642.52</v>
      </c>
      <c r="H2411" s="298"/>
      <c r="I2411" s="298"/>
      <c r="J2411" s="28">
        <v>2211642.52</v>
      </c>
      <c r="K2411" s="488">
        <f t="shared" ref="K2411:K2425" si="409">J2411*4.38%</f>
        <v>96869.942375999992</v>
      </c>
      <c r="L2411" s="469">
        <v>2114772.5776240001</v>
      </c>
      <c r="M2411" s="298">
        <f t="shared" si="408"/>
        <v>2432806.7719999999</v>
      </c>
      <c r="N2411" s="298">
        <f t="shared" ref="N2411:N2424" si="410">M2411*10%+M2411</f>
        <v>2676087.4491999997</v>
      </c>
    </row>
    <row r="2412" spans="1:14" s="20" customFormat="1">
      <c r="A2412" s="244"/>
      <c r="B2412" s="231"/>
      <c r="C2412" s="139" t="s">
        <v>47</v>
      </c>
      <c r="D2412" s="77">
        <v>22020302</v>
      </c>
      <c r="E2412" s="135" t="s">
        <v>872</v>
      </c>
      <c r="F2412" s="217">
        <v>960000</v>
      </c>
      <c r="G2412" s="298">
        <v>960000</v>
      </c>
      <c r="H2412" s="298"/>
      <c r="I2412" s="298"/>
      <c r="J2412" s="28">
        <v>960000</v>
      </c>
      <c r="K2412" s="488">
        <f t="shared" si="409"/>
        <v>42048</v>
      </c>
      <c r="L2412" s="469">
        <v>917952</v>
      </c>
      <c r="M2412" s="298">
        <f t="shared" si="408"/>
        <v>1056000</v>
      </c>
      <c r="N2412" s="298">
        <f t="shared" si="410"/>
        <v>1161600</v>
      </c>
    </row>
    <row r="2413" spans="1:14" s="20" customFormat="1">
      <c r="A2413" s="244"/>
      <c r="B2413" s="231"/>
      <c r="C2413" s="139" t="s">
        <v>47</v>
      </c>
      <c r="D2413" s="77">
        <v>22020305</v>
      </c>
      <c r="E2413" s="135" t="s">
        <v>755</v>
      </c>
      <c r="F2413" s="217">
        <v>8938000</v>
      </c>
      <c r="G2413" s="298">
        <v>8938000</v>
      </c>
      <c r="H2413" s="298"/>
      <c r="I2413" s="298"/>
      <c r="J2413" s="28">
        <v>8938000</v>
      </c>
      <c r="K2413" s="488">
        <f t="shared" si="409"/>
        <v>391484.39999999997</v>
      </c>
      <c r="L2413" s="469">
        <v>8546515.5999999996</v>
      </c>
      <c r="M2413" s="298">
        <f t="shared" si="408"/>
        <v>9831800</v>
      </c>
      <c r="N2413" s="298">
        <f t="shared" si="410"/>
        <v>10814980</v>
      </c>
    </row>
    <row r="2414" spans="1:14" s="20" customFormat="1">
      <c r="A2414" s="244"/>
      <c r="B2414" s="231"/>
      <c r="C2414" s="139" t="s">
        <v>47</v>
      </c>
      <c r="D2414" s="77">
        <v>22020306</v>
      </c>
      <c r="E2414" s="135" t="s">
        <v>822</v>
      </c>
      <c r="F2414" s="217">
        <v>20694000</v>
      </c>
      <c r="G2414" s="298">
        <v>20694000</v>
      </c>
      <c r="H2414" s="298"/>
      <c r="I2414" s="298"/>
      <c r="J2414" s="28">
        <v>20694000</v>
      </c>
      <c r="K2414" s="488">
        <f t="shared" si="409"/>
        <v>906397.2</v>
      </c>
      <c r="L2414" s="469">
        <v>19787602.800000001</v>
      </c>
      <c r="M2414" s="298">
        <f t="shared" si="408"/>
        <v>22763400</v>
      </c>
      <c r="N2414" s="298">
        <f t="shared" si="410"/>
        <v>25039740</v>
      </c>
    </row>
    <row r="2415" spans="1:14" s="20" customFormat="1">
      <c r="A2415" s="244"/>
      <c r="B2415" s="231"/>
      <c r="C2415" s="139" t="s">
        <v>47</v>
      </c>
      <c r="D2415" s="77">
        <v>22020315</v>
      </c>
      <c r="E2415" s="135" t="s">
        <v>740</v>
      </c>
      <c r="F2415" s="217">
        <v>3228000</v>
      </c>
      <c r="G2415" s="298">
        <v>3228000</v>
      </c>
      <c r="H2415" s="298"/>
      <c r="I2415" s="298"/>
      <c r="J2415" s="28">
        <v>3228000</v>
      </c>
      <c r="K2415" s="488">
        <f t="shared" si="409"/>
        <v>141386.4</v>
      </c>
      <c r="L2415" s="469">
        <v>3086613.6</v>
      </c>
      <c r="M2415" s="298">
        <f t="shared" si="408"/>
        <v>3550800</v>
      </c>
      <c r="N2415" s="298">
        <f t="shared" si="410"/>
        <v>3905880</v>
      </c>
    </row>
    <row r="2416" spans="1:14" s="20" customFormat="1">
      <c r="A2416" s="244"/>
      <c r="B2416" s="231"/>
      <c r="C2416" s="139" t="s">
        <v>47</v>
      </c>
      <c r="D2416" s="77">
        <v>22020401</v>
      </c>
      <c r="E2416" s="135" t="s">
        <v>741</v>
      </c>
      <c r="F2416" s="217">
        <v>1280000</v>
      </c>
      <c r="G2416" s="298">
        <v>1280000</v>
      </c>
      <c r="H2416" s="298"/>
      <c r="I2416" s="298"/>
      <c r="J2416" s="28">
        <v>1280000</v>
      </c>
      <c r="K2416" s="488">
        <f t="shared" si="409"/>
        <v>56064</v>
      </c>
      <c r="L2416" s="469">
        <v>1223936</v>
      </c>
      <c r="M2416" s="298">
        <f t="shared" si="408"/>
        <v>1408000</v>
      </c>
      <c r="N2416" s="298">
        <f t="shared" si="410"/>
        <v>1548800</v>
      </c>
    </row>
    <row r="2417" spans="1:14" s="20" customFormat="1">
      <c r="A2417" s="244"/>
      <c r="B2417" s="231"/>
      <c r="C2417" s="139" t="s">
        <v>47</v>
      </c>
      <c r="D2417" s="77">
        <v>22020402</v>
      </c>
      <c r="E2417" s="135" t="s">
        <v>757</v>
      </c>
      <c r="F2417" s="217">
        <v>2236300</v>
      </c>
      <c r="G2417" s="298">
        <v>2236300</v>
      </c>
      <c r="H2417" s="298"/>
      <c r="I2417" s="298"/>
      <c r="J2417" s="28">
        <v>2236300</v>
      </c>
      <c r="K2417" s="488">
        <f t="shared" si="409"/>
        <v>97949.94</v>
      </c>
      <c r="L2417" s="469">
        <v>2138350.06</v>
      </c>
      <c r="M2417" s="298">
        <f t="shared" si="408"/>
        <v>2459930</v>
      </c>
      <c r="N2417" s="298">
        <f t="shared" si="410"/>
        <v>2705923</v>
      </c>
    </row>
    <row r="2418" spans="1:14" s="20" customFormat="1">
      <c r="A2418" s="244"/>
      <c r="B2418" s="231"/>
      <c r="C2418" s="139" t="s">
        <v>47</v>
      </c>
      <c r="D2418" s="77">
        <v>22020404</v>
      </c>
      <c r="E2418" s="135" t="s">
        <v>742</v>
      </c>
      <c r="F2418" s="217">
        <v>4861840</v>
      </c>
      <c r="G2418" s="298">
        <v>4861840</v>
      </c>
      <c r="H2418" s="298"/>
      <c r="I2418" s="298"/>
      <c r="J2418" s="28">
        <v>4861840</v>
      </c>
      <c r="K2418" s="488">
        <f t="shared" si="409"/>
        <v>212948.592</v>
      </c>
      <c r="L2418" s="469">
        <v>4648891.4079999998</v>
      </c>
      <c r="M2418" s="298">
        <f t="shared" si="408"/>
        <v>5348024</v>
      </c>
      <c r="N2418" s="298">
        <f t="shared" si="410"/>
        <v>5882826.4000000004</v>
      </c>
    </row>
    <row r="2419" spans="1:14" s="20" customFormat="1">
      <c r="A2419" s="244"/>
      <c r="B2419" s="231"/>
      <c r="C2419" s="139" t="s">
        <v>47</v>
      </c>
      <c r="D2419" s="77">
        <v>22020504</v>
      </c>
      <c r="E2419" s="135" t="s">
        <v>897</v>
      </c>
      <c r="F2419" s="217">
        <v>4500000</v>
      </c>
      <c r="G2419" s="298">
        <v>4500000</v>
      </c>
      <c r="H2419" s="298"/>
      <c r="I2419" s="298"/>
      <c r="J2419" s="28">
        <v>4500000</v>
      </c>
      <c r="K2419" s="488">
        <f t="shared" si="409"/>
        <v>197100</v>
      </c>
      <c r="L2419" s="469">
        <v>4302900</v>
      </c>
      <c r="M2419" s="298">
        <f t="shared" si="408"/>
        <v>4950000</v>
      </c>
      <c r="N2419" s="298">
        <f t="shared" si="410"/>
        <v>5445000</v>
      </c>
    </row>
    <row r="2420" spans="1:14" s="20" customFormat="1">
      <c r="A2420" s="244"/>
      <c r="B2420" s="231"/>
      <c r="C2420" s="139" t="s">
        <v>47</v>
      </c>
      <c r="D2420" s="77">
        <v>22020605</v>
      </c>
      <c r="E2420" s="135" t="s">
        <v>768</v>
      </c>
      <c r="F2420" s="217">
        <v>15714500</v>
      </c>
      <c r="G2420" s="298">
        <v>15714500</v>
      </c>
      <c r="H2420" s="298"/>
      <c r="I2420" s="298"/>
      <c r="J2420" s="28">
        <v>15714500</v>
      </c>
      <c r="K2420" s="488">
        <f t="shared" si="409"/>
        <v>688295.1</v>
      </c>
      <c r="L2420" s="469">
        <v>15026204.9</v>
      </c>
      <c r="M2420" s="298">
        <f t="shared" si="408"/>
        <v>17285950</v>
      </c>
      <c r="N2420" s="298">
        <f t="shared" si="410"/>
        <v>19014545</v>
      </c>
    </row>
    <row r="2421" spans="1:14" s="20" customFormat="1">
      <c r="A2421" s="244"/>
      <c r="B2421" s="231"/>
      <c r="C2421" s="139" t="s">
        <v>47</v>
      </c>
      <c r="D2421" s="77">
        <v>22020801</v>
      </c>
      <c r="E2421" s="135" t="s">
        <v>747</v>
      </c>
      <c r="F2421" s="217">
        <v>6650850</v>
      </c>
      <c r="G2421" s="298">
        <v>6650850</v>
      </c>
      <c r="H2421" s="298"/>
      <c r="I2421" s="298"/>
      <c r="J2421" s="28">
        <v>6650850</v>
      </c>
      <c r="K2421" s="488">
        <f t="shared" si="409"/>
        <v>291307.23</v>
      </c>
      <c r="L2421" s="469">
        <v>6359542.7700000005</v>
      </c>
      <c r="M2421" s="298">
        <f t="shared" si="408"/>
        <v>7315935</v>
      </c>
      <c r="N2421" s="298">
        <f t="shared" si="410"/>
        <v>8047528.5</v>
      </c>
    </row>
    <row r="2422" spans="1:14" s="20" customFormat="1">
      <c r="A2422" s="244"/>
      <c r="B2422" s="231"/>
      <c r="C2422" s="139" t="s">
        <v>47</v>
      </c>
      <c r="D2422" s="77">
        <v>22020803</v>
      </c>
      <c r="E2422" s="135" t="s">
        <v>748</v>
      </c>
      <c r="F2422" s="217">
        <v>8925000</v>
      </c>
      <c r="G2422" s="298">
        <v>8925000</v>
      </c>
      <c r="H2422" s="298"/>
      <c r="I2422" s="298"/>
      <c r="J2422" s="28">
        <v>8925000</v>
      </c>
      <c r="K2422" s="488">
        <f t="shared" si="409"/>
        <v>390915</v>
      </c>
      <c r="L2422" s="469">
        <v>8534085</v>
      </c>
      <c r="M2422" s="298">
        <f t="shared" si="408"/>
        <v>9817500</v>
      </c>
      <c r="N2422" s="298">
        <f t="shared" si="410"/>
        <v>10799250</v>
      </c>
    </row>
    <row r="2423" spans="1:14" s="20" customFormat="1">
      <c r="A2423" s="244"/>
      <c r="B2423" s="231"/>
      <c r="C2423" s="139" t="s">
        <v>47</v>
      </c>
      <c r="D2423" s="77">
        <v>22020901</v>
      </c>
      <c r="E2423" s="135" t="s">
        <v>749</v>
      </c>
      <c r="F2423" s="217">
        <v>240000</v>
      </c>
      <c r="G2423" s="298">
        <v>240000</v>
      </c>
      <c r="H2423" s="298"/>
      <c r="I2423" s="298"/>
      <c r="J2423" s="28">
        <v>240000</v>
      </c>
      <c r="K2423" s="488">
        <f t="shared" si="409"/>
        <v>10512</v>
      </c>
      <c r="L2423" s="469">
        <v>229488</v>
      </c>
      <c r="M2423" s="298">
        <f t="shared" si="408"/>
        <v>264000</v>
      </c>
      <c r="N2423" s="298">
        <f t="shared" si="410"/>
        <v>290400</v>
      </c>
    </row>
    <row r="2424" spans="1:14" s="20" customFormat="1">
      <c r="A2424" s="244"/>
      <c r="B2424" s="231"/>
      <c r="C2424" s="139" t="s">
        <v>47</v>
      </c>
      <c r="D2424" s="77">
        <v>22021001</v>
      </c>
      <c r="E2424" s="135" t="s">
        <v>772</v>
      </c>
      <c r="F2424" s="217">
        <v>5540000</v>
      </c>
      <c r="G2424" s="298">
        <v>5540000</v>
      </c>
      <c r="H2424" s="298"/>
      <c r="I2424" s="298"/>
      <c r="J2424" s="28">
        <v>5540000</v>
      </c>
      <c r="K2424" s="488">
        <f t="shared" si="409"/>
        <v>242652</v>
      </c>
      <c r="L2424" s="469">
        <v>5297348</v>
      </c>
      <c r="M2424" s="298">
        <f t="shared" si="408"/>
        <v>6094000</v>
      </c>
      <c r="N2424" s="298">
        <f t="shared" si="410"/>
        <v>6703400</v>
      </c>
    </row>
    <row r="2425" spans="1:14" s="20" customFormat="1">
      <c r="A2425" s="244"/>
      <c r="B2425" s="231"/>
      <c r="C2425" s="30" t="s">
        <v>1839</v>
      </c>
      <c r="D2425" s="23"/>
      <c r="E2425" s="25"/>
      <c r="F2425" s="137">
        <f>SUM(F2410:F2424)</f>
        <v>108810132.52</v>
      </c>
      <c r="G2425" s="114">
        <f>SUM(G2410:G2424)</f>
        <v>95980132.519999996</v>
      </c>
      <c r="H2425" s="114">
        <f t="shared" ref="H2425:I2425" si="411">SUM(H2410:H2424)</f>
        <v>0</v>
      </c>
      <c r="I2425" s="114">
        <f t="shared" si="411"/>
        <v>0</v>
      </c>
      <c r="J2425" s="114">
        <f>SUM(J2410:J2424)</f>
        <v>95980132.519999996</v>
      </c>
      <c r="K2425" s="490">
        <f t="shared" si="409"/>
        <v>4203929.8043759996</v>
      </c>
      <c r="L2425" s="468">
        <f>SUM(L2410:L2424)</f>
        <v>91776202.715624005</v>
      </c>
      <c r="M2425" s="114">
        <f>SUM(M2410:M2424)</f>
        <v>105578145.772</v>
      </c>
      <c r="N2425" s="114">
        <f>SUM(N2410:N2424)</f>
        <v>116135960.34920001</v>
      </c>
    </row>
    <row r="2426" spans="1:14" s="66" customFormat="1" ht="30">
      <c r="A2426" s="245" t="s">
        <v>1077</v>
      </c>
      <c r="B2426" s="231" t="s">
        <v>1833</v>
      </c>
      <c r="C2426" s="30"/>
      <c r="D2426" s="23"/>
      <c r="E2426" s="25"/>
      <c r="F2426" s="137">
        <f>F2425+F2409</f>
        <v>801447419.23000002</v>
      </c>
      <c r="G2426" s="114">
        <f>G2425+G2409</f>
        <v>1018837892.03</v>
      </c>
      <c r="H2426" s="114">
        <f t="shared" ref="H2426:I2426" si="412">H2425+H2409</f>
        <v>0</v>
      </c>
      <c r="I2426" s="114">
        <f t="shared" si="412"/>
        <v>0</v>
      </c>
      <c r="J2426" s="114">
        <f>J2425+J2409</f>
        <v>1018837892.03</v>
      </c>
      <c r="K2426" s="490"/>
      <c r="L2426" s="468">
        <f>L2425+L2409</f>
        <v>1014633962.225624</v>
      </c>
      <c r="M2426" s="114">
        <f>M2425+M2409</f>
        <v>1120721681.233</v>
      </c>
      <c r="N2426" s="114">
        <f>N2425+N2409</f>
        <v>1232793849.3563001</v>
      </c>
    </row>
    <row r="2427" spans="1:14" s="20" customFormat="1" ht="21">
      <c r="A2427" s="252"/>
      <c r="B2427" s="443"/>
      <c r="C2427" s="228"/>
      <c r="D2427" s="229"/>
      <c r="E2427" s="230"/>
      <c r="F2427" s="215"/>
      <c r="G2427" s="296"/>
      <c r="H2427" s="296"/>
      <c r="I2427" s="296"/>
      <c r="J2427" s="28"/>
      <c r="K2427" s="488"/>
      <c r="L2427" s="468"/>
      <c r="M2427" s="296"/>
      <c r="N2427" s="296"/>
    </row>
    <row r="2428" spans="1:14" s="20" customFormat="1">
      <c r="A2428" s="245" t="s">
        <v>1078</v>
      </c>
      <c r="B2428" s="231" t="s">
        <v>2154</v>
      </c>
      <c r="C2428" s="139" t="s">
        <v>946</v>
      </c>
      <c r="D2428" s="77">
        <v>21010101</v>
      </c>
      <c r="E2428" s="135" t="s">
        <v>725</v>
      </c>
      <c r="F2428" s="217">
        <v>85778040.780000001</v>
      </c>
      <c r="G2428" s="298">
        <v>85778040.780000001</v>
      </c>
      <c r="H2428" s="298"/>
      <c r="I2428" s="298"/>
      <c r="J2428" s="28">
        <v>85778040.780000001</v>
      </c>
      <c r="K2428" s="488"/>
      <c r="L2428" s="467">
        <v>85778040.780000001</v>
      </c>
      <c r="M2428" s="298">
        <f>G2428*10%+G2428</f>
        <v>94355844.857999995</v>
      </c>
      <c r="N2428" s="298">
        <f>M2428*10%+M2428</f>
        <v>103791429.34379999</v>
      </c>
    </row>
    <row r="2429" spans="1:14" s="20" customFormat="1">
      <c r="A2429" s="238"/>
      <c r="B2429" s="231"/>
      <c r="C2429" s="30" t="s">
        <v>1842</v>
      </c>
      <c r="D2429" s="23"/>
      <c r="E2429" s="25"/>
      <c r="F2429" s="137">
        <f>SUM(F2428)</f>
        <v>85778040.780000001</v>
      </c>
      <c r="G2429" s="114">
        <f>SUM(G2428)</f>
        <v>85778040.780000001</v>
      </c>
      <c r="H2429" s="114">
        <f t="shared" ref="H2429:I2429" si="413">SUM(H2428)</f>
        <v>0</v>
      </c>
      <c r="I2429" s="114">
        <f t="shared" si="413"/>
        <v>0</v>
      </c>
      <c r="J2429" s="114">
        <f>SUM(J2428)</f>
        <v>85778040.780000001</v>
      </c>
      <c r="K2429" s="490"/>
      <c r="L2429" s="468">
        <f>SUM(L2428)</f>
        <v>85778040.780000001</v>
      </c>
      <c r="M2429" s="114">
        <f>SUM(M2428)</f>
        <v>94355844.857999995</v>
      </c>
      <c r="N2429" s="114">
        <f>SUM(N2428)</f>
        <v>103791429.34379999</v>
      </c>
    </row>
    <row r="2430" spans="1:14" s="20" customFormat="1">
      <c r="A2430" s="244"/>
      <c r="B2430" s="231"/>
      <c r="C2430" s="139" t="s">
        <v>47</v>
      </c>
      <c r="D2430" s="77">
        <v>22020105</v>
      </c>
      <c r="E2430" s="135" t="s">
        <v>1733</v>
      </c>
      <c r="F2430" s="217">
        <v>3206000</v>
      </c>
      <c r="G2430" s="298">
        <v>3206000</v>
      </c>
      <c r="H2430" s="298"/>
      <c r="I2430" s="298"/>
      <c r="J2430" s="28">
        <v>3206000</v>
      </c>
      <c r="K2430" s="488">
        <f>J2430*4.38%</f>
        <v>140422.79999999999</v>
      </c>
      <c r="L2430" s="469">
        <v>3065577.2</v>
      </c>
      <c r="M2430" s="298">
        <v>3206000</v>
      </c>
      <c r="N2430" s="298">
        <v>3206000</v>
      </c>
    </row>
    <row r="2431" spans="1:14" s="20" customFormat="1">
      <c r="A2431" s="244"/>
      <c r="B2431" s="231"/>
      <c r="C2431" s="139" t="s">
        <v>47</v>
      </c>
      <c r="D2431" s="77">
        <v>22020301</v>
      </c>
      <c r="E2431" s="135" t="s">
        <v>737</v>
      </c>
      <c r="F2431" s="217">
        <v>5000000</v>
      </c>
      <c r="G2431" s="298">
        <v>5000000</v>
      </c>
      <c r="H2431" s="298"/>
      <c r="I2431" s="298"/>
      <c r="J2431" s="28">
        <v>5000000</v>
      </c>
      <c r="K2431" s="488">
        <f t="shared" ref="K2431:K2442" si="414">J2431*4.38%</f>
        <v>219000</v>
      </c>
      <c r="L2431" s="469">
        <v>4781000</v>
      </c>
      <c r="M2431" s="298">
        <v>5000000</v>
      </c>
      <c r="N2431" s="298">
        <v>5000000</v>
      </c>
    </row>
    <row r="2432" spans="1:14" s="20" customFormat="1">
      <c r="A2432" s="244"/>
      <c r="B2432" s="231"/>
      <c r="C2432" s="139" t="s">
        <v>47</v>
      </c>
      <c r="D2432" s="77">
        <v>22020305</v>
      </c>
      <c r="E2432" s="135" t="s">
        <v>755</v>
      </c>
      <c r="F2432" s="217">
        <v>1269000</v>
      </c>
      <c r="G2432" s="298">
        <v>1269000</v>
      </c>
      <c r="H2432" s="298"/>
      <c r="I2432" s="298"/>
      <c r="J2432" s="28">
        <v>1269000</v>
      </c>
      <c r="K2432" s="488">
        <f t="shared" si="414"/>
        <v>55582.2</v>
      </c>
      <c r="L2432" s="469">
        <v>1213417.8</v>
      </c>
      <c r="M2432" s="298">
        <v>1269000</v>
      </c>
      <c r="N2432" s="298">
        <v>1269000</v>
      </c>
    </row>
    <row r="2433" spans="1:14" s="20" customFormat="1">
      <c r="A2433" s="244"/>
      <c r="B2433" s="231"/>
      <c r="C2433" s="139" t="s">
        <v>47</v>
      </c>
      <c r="D2433" s="77">
        <v>22020315</v>
      </c>
      <c r="E2433" s="135" t="s">
        <v>740</v>
      </c>
      <c r="F2433" s="217">
        <v>1230100</v>
      </c>
      <c r="G2433" s="298">
        <v>1230100</v>
      </c>
      <c r="H2433" s="298"/>
      <c r="I2433" s="298"/>
      <c r="J2433" s="28">
        <v>1230100</v>
      </c>
      <c r="K2433" s="488">
        <f t="shared" si="414"/>
        <v>53878.38</v>
      </c>
      <c r="L2433" s="469">
        <v>1176221.6200000001</v>
      </c>
      <c r="M2433" s="298">
        <v>1230100</v>
      </c>
      <c r="N2433" s="298">
        <v>1230100</v>
      </c>
    </row>
    <row r="2434" spans="1:14" s="20" customFormat="1">
      <c r="A2434" s="244"/>
      <c r="B2434" s="231"/>
      <c r="C2434" s="139" t="s">
        <v>47</v>
      </c>
      <c r="D2434" s="77">
        <v>22020401</v>
      </c>
      <c r="E2434" s="135" t="s">
        <v>741</v>
      </c>
      <c r="F2434" s="217">
        <v>4620000</v>
      </c>
      <c r="G2434" s="298">
        <v>4620000</v>
      </c>
      <c r="H2434" s="298"/>
      <c r="I2434" s="298"/>
      <c r="J2434" s="28">
        <v>4620000</v>
      </c>
      <c r="K2434" s="488">
        <f t="shared" si="414"/>
        <v>202356</v>
      </c>
      <c r="L2434" s="469">
        <v>4417644</v>
      </c>
      <c r="M2434" s="298">
        <v>4620000</v>
      </c>
      <c r="N2434" s="298">
        <v>4620000</v>
      </c>
    </row>
    <row r="2435" spans="1:14" s="20" customFormat="1">
      <c r="A2435" s="244"/>
      <c r="B2435" s="231"/>
      <c r="C2435" s="139" t="s">
        <v>47</v>
      </c>
      <c r="D2435" s="77">
        <v>22020404</v>
      </c>
      <c r="E2435" s="135" t="s">
        <v>742</v>
      </c>
      <c r="F2435" s="217">
        <v>770000</v>
      </c>
      <c r="G2435" s="298">
        <v>770000</v>
      </c>
      <c r="H2435" s="298"/>
      <c r="I2435" s="298"/>
      <c r="J2435" s="28">
        <v>770000</v>
      </c>
      <c r="K2435" s="488">
        <f t="shared" si="414"/>
        <v>33726</v>
      </c>
      <c r="L2435" s="469">
        <v>736274</v>
      </c>
      <c r="M2435" s="298">
        <v>770000</v>
      </c>
      <c r="N2435" s="298">
        <v>770000</v>
      </c>
    </row>
    <row r="2436" spans="1:14" s="20" customFormat="1">
      <c r="A2436" s="244"/>
      <c r="B2436" s="231"/>
      <c r="C2436" s="139" t="s">
        <v>47</v>
      </c>
      <c r="D2436" s="77">
        <v>22020405</v>
      </c>
      <c r="E2436" s="135" t="s">
        <v>743</v>
      </c>
      <c r="F2436" s="217">
        <v>80000</v>
      </c>
      <c r="G2436" s="298">
        <v>1000000</v>
      </c>
      <c r="H2436" s="298"/>
      <c r="I2436" s="298"/>
      <c r="J2436" s="28">
        <v>1000000</v>
      </c>
      <c r="K2436" s="488">
        <f t="shared" si="414"/>
        <v>43800</v>
      </c>
      <c r="L2436" s="469">
        <v>956200</v>
      </c>
      <c r="M2436" s="298">
        <f>G2436*10%+G2436</f>
        <v>1100000</v>
      </c>
      <c r="N2436" s="298">
        <f>M2436*10%+M2436</f>
        <v>1210000</v>
      </c>
    </row>
    <row r="2437" spans="1:14" s="20" customFormat="1">
      <c r="A2437" s="244"/>
      <c r="B2437" s="231"/>
      <c r="C2437" s="139" t="s">
        <v>47</v>
      </c>
      <c r="D2437" s="77">
        <v>22020507</v>
      </c>
      <c r="E2437" s="135" t="s">
        <v>1079</v>
      </c>
      <c r="F2437" s="217">
        <v>24200000</v>
      </c>
      <c r="G2437" s="298">
        <v>24200000</v>
      </c>
      <c r="H2437" s="298"/>
      <c r="I2437" s="298"/>
      <c r="J2437" s="28">
        <v>24200000</v>
      </c>
      <c r="K2437" s="488">
        <f t="shared" si="414"/>
        <v>1059960</v>
      </c>
      <c r="L2437" s="469">
        <v>23140040</v>
      </c>
      <c r="M2437" s="298">
        <v>24200000</v>
      </c>
      <c r="N2437" s="298">
        <v>24200000</v>
      </c>
    </row>
    <row r="2438" spans="1:14" s="20" customFormat="1">
      <c r="A2438" s="244"/>
      <c r="B2438" s="231"/>
      <c r="C2438" s="139" t="s">
        <v>47</v>
      </c>
      <c r="D2438" s="77">
        <v>22020801</v>
      </c>
      <c r="E2438" s="135" t="s">
        <v>747</v>
      </c>
      <c r="F2438" s="217">
        <v>15236018.640000001</v>
      </c>
      <c r="G2438" s="298">
        <v>15236018.640000001</v>
      </c>
      <c r="H2438" s="298"/>
      <c r="I2438" s="298"/>
      <c r="J2438" s="28">
        <v>15236018.640000001</v>
      </c>
      <c r="K2438" s="488">
        <f t="shared" si="414"/>
        <v>667337.61643199995</v>
      </c>
      <c r="L2438" s="469">
        <v>14568681.023568001</v>
      </c>
      <c r="M2438" s="298">
        <v>15236018.640000001</v>
      </c>
      <c r="N2438" s="298">
        <v>15236018.640000001</v>
      </c>
    </row>
    <row r="2439" spans="1:14" s="20" customFormat="1">
      <c r="A2439" s="244"/>
      <c r="B2439" s="231"/>
      <c r="C2439" s="139" t="s">
        <v>47</v>
      </c>
      <c r="D2439" s="77">
        <v>22020803</v>
      </c>
      <c r="E2439" s="135" t="s">
        <v>748</v>
      </c>
      <c r="F2439" s="217">
        <v>1584000</v>
      </c>
      <c r="G2439" s="298">
        <v>1584000</v>
      </c>
      <c r="H2439" s="298"/>
      <c r="I2439" s="298"/>
      <c r="J2439" s="28">
        <v>1584000</v>
      </c>
      <c r="K2439" s="488">
        <f t="shared" si="414"/>
        <v>69379.199999999997</v>
      </c>
      <c r="L2439" s="469">
        <v>1514620.8</v>
      </c>
      <c r="M2439" s="298">
        <v>1584000</v>
      </c>
      <c r="N2439" s="298">
        <v>1584000</v>
      </c>
    </row>
    <row r="2440" spans="1:14" s="20" customFormat="1">
      <c r="A2440" s="244"/>
      <c r="B2440" s="231"/>
      <c r="C2440" s="139" t="s">
        <v>47</v>
      </c>
      <c r="D2440" s="77">
        <v>22021001</v>
      </c>
      <c r="E2440" s="135" t="s">
        <v>772</v>
      </c>
      <c r="F2440" s="217">
        <v>5111000</v>
      </c>
      <c r="G2440" s="298">
        <v>5111000</v>
      </c>
      <c r="H2440" s="298"/>
      <c r="I2440" s="298"/>
      <c r="J2440" s="28">
        <v>5111000</v>
      </c>
      <c r="K2440" s="488">
        <f t="shared" si="414"/>
        <v>223861.8</v>
      </c>
      <c r="L2440" s="469">
        <v>4887138.2</v>
      </c>
      <c r="M2440" s="298">
        <v>5111000</v>
      </c>
      <c r="N2440" s="298">
        <v>5111000</v>
      </c>
    </row>
    <row r="2441" spans="1:14" s="20" customFormat="1">
      <c r="A2441" s="244"/>
      <c r="B2441" s="231"/>
      <c r="C2441" s="139" t="s">
        <v>47</v>
      </c>
      <c r="D2441" s="77">
        <v>22021027</v>
      </c>
      <c r="E2441" s="135" t="s">
        <v>817</v>
      </c>
      <c r="F2441" s="217">
        <v>2710000</v>
      </c>
      <c r="G2441" s="298">
        <v>2710000</v>
      </c>
      <c r="H2441" s="298"/>
      <c r="I2441" s="298"/>
      <c r="J2441" s="28">
        <v>2710000</v>
      </c>
      <c r="K2441" s="488">
        <f t="shared" si="414"/>
        <v>118698</v>
      </c>
      <c r="L2441" s="469">
        <v>2591302</v>
      </c>
      <c r="M2441" s="298">
        <v>2710000</v>
      </c>
      <c r="N2441" s="298">
        <v>2710000</v>
      </c>
    </row>
    <row r="2442" spans="1:14" s="20" customFormat="1">
      <c r="A2442" s="244"/>
      <c r="B2442" s="231"/>
      <c r="C2442" s="139" t="s">
        <v>47</v>
      </c>
      <c r="D2442" s="77">
        <v>22040120</v>
      </c>
      <c r="E2442" s="135" t="s">
        <v>1080</v>
      </c>
      <c r="F2442" s="217">
        <v>400044318</v>
      </c>
      <c r="G2442" s="298">
        <v>400044318</v>
      </c>
      <c r="H2442" s="298"/>
      <c r="I2442" s="298"/>
      <c r="J2442" s="28">
        <v>400044318</v>
      </c>
      <c r="K2442" s="488">
        <f t="shared" si="414"/>
        <v>17521941.128399998</v>
      </c>
      <c r="L2442" s="469">
        <v>382522376.87160003</v>
      </c>
      <c r="M2442" s="298">
        <v>400044318</v>
      </c>
      <c r="N2442" s="298">
        <v>400044318</v>
      </c>
    </row>
    <row r="2443" spans="1:14" s="20" customFormat="1">
      <c r="A2443" s="238"/>
      <c r="B2443" s="231"/>
      <c r="C2443" s="30" t="s">
        <v>1839</v>
      </c>
      <c r="D2443" s="23"/>
      <c r="E2443" s="25"/>
      <c r="F2443" s="137">
        <f>SUM(F2430:F2442)</f>
        <v>465060436.63999999</v>
      </c>
      <c r="G2443" s="114">
        <f>SUM(G2430:G2442)</f>
        <v>465980436.63999999</v>
      </c>
      <c r="H2443" s="114">
        <f t="shared" ref="H2443:M2443" si="415">SUM(H2430:H2442)</f>
        <v>0</v>
      </c>
      <c r="I2443" s="114">
        <f t="shared" si="415"/>
        <v>0</v>
      </c>
      <c r="J2443" s="114">
        <f>SUM(J2430:J2442)</f>
        <v>465980436.63999999</v>
      </c>
      <c r="K2443" s="490">
        <f>SUM(K2430:K2442)</f>
        <v>20409943.124831997</v>
      </c>
      <c r="L2443" s="468">
        <f>SUM(L2430:L2442)</f>
        <v>445570493.51516807</v>
      </c>
      <c r="M2443" s="114">
        <f t="shared" si="415"/>
        <v>466080436.63999999</v>
      </c>
      <c r="N2443" s="114">
        <f>SUM(N2430:N2442)</f>
        <v>466190436.63999999</v>
      </c>
    </row>
    <row r="2444" spans="1:14" s="66" customFormat="1" ht="30">
      <c r="A2444" s="238" t="s">
        <v>1078</v>
      </c>
      <c r="B2444" s="231" t="s">
        <v>2156</v>
      </c>
      <c r="C2444" s="30"/>
      <c r="D2444" s="23"/>
      <c r="E2444" s="25"/>
      <c r="F2444" s="137">
        <f>F2443+F2429</f>
        <v>550838477.41999996</v>
      </c>
      <c r="G2444" s="114">
        <f>G2443+G2429</f>
        <v>551758477.41999996</v>
      </c>
      <c r="H2444" s="114">
        <f t="shared" ref="H2444:M2444" si="416">H2443+H2429</f>
        <v>0</v>
      </c>
      <c r="I2444" s="114">
        <f t="shared" si="416"/>
        <v>0</v>
      </c>
      <c r="J2444" s="114">
        <f>J2443+J2429</f>
        <v>551758477.41999996</v>
      </c>
      <c r="K2444" s="490"/>
      <c r="L2444" s="468">
        <f>L2443+L2429</f>
        <v>531348534.29516804</v>
      </c>
      <c r="M2444" s="114">
        <f t="shared" si="416"/>
        <v>560436281.49800003</v>
      </c>
      <c r="N2444" s="114">
        <f>N2443+N2429</f>
        <v>569981865.98379993</v>
      </c>
    </row>
    <row r="2445" spans="1:14" s="20" customFormat="1" ht="21">
      <c r="A2445" s="257"/>
      <c r="B2445" s="448"/>
      <c r="C2445" s="78"/>
      <c r="D2445" s="234"/>
      <c r="E2445" s="235"/>
      <c r="F2445" s="220"/>
      <c r="G2445" s="22"/>
      <c r="H2445" s="22"/>
      <c r="I2445" s="22"/>
      <c r="J2445" s="28"/>
      <c r="K2445" s="488"/>
      <c r="L2445" s="468"/>
      <c r="M2445" s="22"/>
      <c r="N2445" s="22"/>
    </row>
    <row r="2446" spans="1:14" s="20" customFormat="1" ht="30">
      <c r="A2446" s="238" t="s">
        <v>707</v>
      </c>
      <c r="B2446" s="231" t="s">
        <v>1081</v>
      </c>
      <c r="C2446" s="32" t="s">
        <v>946</v>
      </c>
      <c r="D2446" s="77">
        <v>21010101</v>
      </c>
      <c r="E2446" s="240" t="s">
        <v>725</v>
      </c>
      <c r="F2446" s="136">
        <v>89341734</v>
      </c>
      <c r="G2446" s="28">
        <v>89341734</v>
      </c>
      <c r="H2446" s="28"/>
      <c r="I2446" s="28"/>
      <c r="J2446" s="28">
        <v>89341734</v>
      </c>
      <c r="K2446" s="488"/>
      <c r="L2446" s="467">
        <v>89341734</v>
      </c>
      <c r="M2446" s="28">
        <f>G2446*10%+G2446</f>
        <v>98275907.400000006</v>
      </c>
      <c r="N2446" s="28">
        <f>M2446*10%+M2446</f>
        <v>108103498.14</v>
      </c>
    </row>
    <row r="2447" spans="1:14" s="20" customFormat="1">
      <c r="A2447" s="238"/>
      <c r="B2447" s="231"/>
      <c r="C2447" s="30" t="s">
        <v>1836</v>
      </c>
      <c r="D2447" s="23"/>
      <c r="E2447" s="25"/>
      <c r="F2447" s="137">
        <f>SUM(F2446)</f>
        <v>89341734</v>
      </c>
      <c r="G2447" s="114">
        <f>SUM(G2446)</f>
        <v>89341734</v>
      </c>
      <c r="H2447" s="114">
        <f t="shared" ref="H2447:I2447" si="417">SUM(H2446)</f>
        <v>0</v>
      </c>
      <c r="I2447" s="114">
        <f t="shared" si="417"/>
        <v>0</v>
      </c>
      <c r="J2447" s="114">
        <f>SUM(J2446)</f>
        <v>89341734</v>
      </c>
      <c r="K2447" s="490"/>
      <c r="L2447" s="468">
        <f>SUM(L2446)</f>
        <v>89341734</v>
      </c>
      <c r="M2447" s="114">
        <f>SUM(M2446)</f>
        <v>98275907.400000006</v>
      </c>
      <c r="N2447" s="114">
        <f>SUM(N2446)</f>
        <v>108103498.14</v>
      </c>
    </row>
    <row r="2448" spans="1:14" s="20" customFormat="1">
      <c r="A2448" s="253"/>
      <c r="B2448" s="231"/>
      <c r="C2448" s="32" t="s">
        <v>47</v>
      </c>
      <c r="D2448" s="239">
        <v>22020105</v>
      </c>
      <c r="E2448" s="135" t="s">
        <v>1733</v>
      </c>
      <c r="F2448" s="136">
        <f>2700000+11020000</f>
        <v>13720000</v>
      </c>
      <c r="G2448" s="28">
        <f>2700000+11020000</f>
        <v>13720000</v>
      </c>
      <c r="H2448" s="28"/>
      <c r="I2448" s="28"/>
      <c r="J2448" s="28">
        <v>13720000</v>
      </c>
      <c r="K2448" s="488">
        <f>J2448*4.38%</f>
        <v>600936</v>
      </c>
      <c r="L2448" s="469">
        <v>13119064</v>
      </c>
      <c r="M2448" s="28">
        <v>3300000</v>
      </c>
      <c r="N2448" s="28">
        <v>3300000</v>
      </c>
    </row>
    <row r="2449" spans="1:14" s="20" customFormat="1">
      <c r="A2449" s="253"/>
      <c r="B2449" s="231"/>
      <c r="C2449" s="32" t="s">
        <v>47</v>
      </c>
      <c r="D2449" s="239">
        <v>22020202</v>
      </c>
      <c r="E2449" s="135" t="s">
        <v>865</v>
      </c>
      <c r="F2449" s="136">
        <v>600000</v>
      </c>
      <c r="G2449" s="28">
        <v>0</v>
      </c>
      <c r="H2449" s="28"/>
      <c r="I2449" s="28"/>
      <c r="J2449" s="28">
        <v>0</v>
      </c>
      <c r="K2449" s="488">
        <f t="shared" ref="K2449:K2477" si="418">J2449*4.38%</f>
        <v>0</v>
      </c>
      <c r="L2449" s="469">
        <v>0</v>
      </c>
      <c r="M2449" s="28">
        <v>600000</v>
      </c>
      <c r="N2449" s="28">
        <v>600000</v>
      </c>
    </row>
    <row r="2450" spans="1:14" s="20" customFormat="1">
      <c r="A2450" s="253"/>
      <c r="B2450" s="231"/>
      <c r="C2450" s="32" t="s">
        <v>47</v>
      </c>
      <c r="D2450" s="239">
        <v>22020203</v>
      </c>
      <c r="E2450" s="135" t="s">
        <v>779</v>
      </c>
      <c r="F2450" s="136">
        <v>600000</v>
      </c>
      <c r="G2450" s="28">
        <v>0</v>
      </c>
      <c r="H2450" s="28"/>
      <c r="I2450" s="28"/>
      <c r="J2450" s="28">
        <v>0</v>
      </c>
      <c r="K2450" s="488">
        <f t="shared" si="418"/>
        <v>0</v>
      </c>
      <c r="L2450" s="469">
        <v>0</v>
      </c>
      <c r="M2450" s="28">
        <v>600000</v>
      </c>
      <c r="N2450" s="28">
        <v>600000</v>
      </c>
    </row>
    <row r="2451" spans="1:14" s="20" customFormat="1">
      <c r="A2451" s="253"/>
      <c r="B2451" s="231"/>
      <c r="C2451" s="32" t="s">
        <v>47</v>
      </c>
      <c r="D2451" s="239">
        <v>22020205</v>
      </c>
      <c r="E2451" s="135" t="s">
        <v>850</v>
      </c>
      <c r="F2451" s="136">
        <v>600000</v>
      </c>
      <c r="G2451" s="28">
        <v>0</v>
      </c>
      <c r="H2451" s="28"/>
      <c r="I2451" s="28"/>
      <c r="J2451" s="28">
        <v>0</v>
      </c>
      <c r="K2451" s="488">
        <f t="shared" si="418"/>
        <v>0</v>
      </c>
      <c r="L2451" s="469">
        <v>0</v>
      </c>
      <c r="M2451" s="28">
        <v>600000</v>
      </c>
      <c r="N2451" s="28">
        <v>600000</v>
      </c>
    </row>
    <row r="2452" spans="1:14" s="20" customFormat="1">
      <c r="A2452" s="253"/>
      <c r="B2452" s="231"/>
      <c r="C2452" s="32" t="s">
        <v>47</v>
      </c>
      <c r="D2452" s="239">
        <v>22020206</v>
      </c>
      <c r="E2452" s="135" t="s">
        <v>764</v>
      </c>
      <c r="F2452" s="136">
        <v>180000</v>
      </c>
      <c r="G2452" s="28">
        <v>0</v>
      </c>
      <c r="H2452" s="28"/>
      <c r="I2452" s="28"/>
      <c r="J2452" s="28">
        <v>0</v>
      </c>
      <c r="K2452" s="488">
        <f t="shared" si="418"/>
        <v>0</v>
      </c>
      <c r="L2452" s="469">
        <v>0</v>
      </c>
      <c r="M2452" s="28">
        <v>180000</v>
      </c>
      <c r="N2452" s="28">
        <v>180000</v>
      </c>
    </row>
    <row r="2453" spans="1:14" s="20" customFormat="1">
      <c r="A2453" s="253"/>
      <c r="B2453" s="231"/>
      <c r="C2453" s="32" t="s">
        <v>47</v>
      </c>
      <c r="D2453" s="239">
        <v>22020209</v>
      </c>
      <c r="E2453" s="135" t="s">
        <v>750</v>
      </c>
      <c r="F2453" s="136">
        <v>960000</v>
      </c>
      <c r="G2453" s="28">
        <v>0</v>
      </c>
      <c r="H2453" s="28"/>
      <c r="I2453" s="28"/>
      <c r="J2453" s="28">
        <v>0</v>
      </c>
      <c r="K2453" s="488">
        <f t="shared" si="418"/>
        <v>0</v>
      </c>
      <c r="L2453" s="469">
        <v>0</v>
      </c>
      <c r="M2453" s="28">
        <v>960000</v>
      </c>
      <c r="N2453" s="28">
        <v>960000</v>
      </c>
    </row>
    <row r="2454" spans="1:14" s="20" customFormat="1">
      <c r="A2454" s="253"/>
      <c r="B2454" s="231"/>
      <c r="C2454" s="32" t="s">
        <v>47</v>
      </c>
      <c r="D2454" s="239">
        <v>22020301</v>
      </c>
      <c r="E2454" s="135" t="s">
        <v>737</v>
      </c>
      <c r="F2454" s="136">
        <v>1908500</v>
      </c>
      <c r="G2454" s="28">
        <v>1908500</v>
      </c>
      <c r="H2454" s="28"/>
      <c r="I2454" s="28"/>
      <c r="J2454" s="28">
        <v>1908500</v>
      </c>
      <c r="K2454" s="488">
        <f t="shared" si="418"/>
        <v>83592.3</v>
      </c>
      <c r="L2454" s="469">
        <v>1824907.7000000002</v>
      </c>
      <c r="M2454" s="28">
        <v>2343500</v>
      </c>
      <c r="N2454" s="28">
        <v>2343500</v>
      </c>
    </row>
    <row r="2455" spans="1:14" s="20" customFormat="1">
      <c r="A2455" s="253"/>
      <c r="B2455" s="231"/>
      <c r="C2455" s="32" t="s">
        <v>47</v>
      </c>
      <c r="D2455" s="239">
        <v>22020303</v>
      </c>
      <c r="E2455" s="135" t="s">
        <v>738</v>
      </c>
      <c r="F2455" s="136">
        <v>31250</v>
      </c>
      <c r="G2455" s="28">
        <v>0</v>
      </c>
      <c r="H2455" s="28"/>
      <c r="I2455" s="28"/>
      <c r="J2455" s="28">
        <v>0</v>
      </c>
      <c r="K2455" s="488">
        <f t="shared" si="418"/>
        <v>0</v>
      </c>
      <c r="L2455" s="469">
        <v>0</v>
      </c>
      <c r="M2455" s="28">
        <v>31250</v>
      </c>
      <c r="N2455" s="28">
        <v>31250</v>
      </c>
    </row>
    <row r="2456" spans="1:14" s="20" customFormat="1">
      <c r="A2456" s="253"/>
      <c r="B2456" s="231"/>
      <c r="C2456" s="32" t="s">
        <v>47</v>
      </c>
      <c r="D2456" s="239">
        <v>22020304</v>
      </c>
      <c r="E2456" s="135" t="s">
        <v>851</v>
      </c>
      <c r="F2456" s="136">
        <v>120000</v>
      </c>
      <c r="G2456" s="28">
        <v>0</v>
      </c>
      <c r="H2456" s="28"/>
      <c r="I2456" s="28"/>
      <c r="J2456" s="28">
        <v>0</v>
      </c>
      <c r="K2456" s="488">
        <f t="shared" si="418"/>
        <v>0</v>
      </c>
      <c r="L2456" s="469">
        <v>0</v>
      </c>
      <c r="M2456" s="28">
        <v>120000</v>
      </c>
      <c r="N2456" s="28">
        <v>120000</v>
      </c>
    </row>
    <row r="2457" spans="1:14" s="20" customFormat="1">
      <c r="A2457" s="253"/>
      <c r="B2457" s="231"/>
      <c r="C2457" s="32" t="s">
        <v>47</v>
      </c>
      <c r="D2457" s="239">
        <v>22020305</v>
      </c>
      <c r="E2457" s="135" t="s">
        <v>755</v>
      </c>
      <c r="F2457" s="136">
        <v>13575000</v>
      </c>
      <c r="G2457" s="28">
        <v>10000000</v>
      </c>
      <c r="H2457" s="28"/>
      <c r="I2457" s="28"/>
      <c r="J2457" s="28">
        <v>10000000</v>
      </c>
      <c r="K2457" s="488">
        <f t="shared" si="418"/>
        <v>438000</v>
      </c>
      <c r="L2457" s="469">
        <v>9562000</v>
      </c>
      <c r="M2457" s="28">
        <v>23405000</v>
      </c>
      <c r="N2457" s="28">
        <v>23405000</v>
      </c>
    </row>
    <row r="2458" spans="1:14" s="20" customFormat="1">
      <c r="A2458" s="253"/>
      <c r="B2458" s="231"/>
      <c r="C2458" s="32" t="s">
        <v>47</v>
      </c>
      <c r="D2458" s="239">
        <v>22020306</v>
      </c>
      <c r="E2458" s="135" t="s">
        <v>765</v>
      </c>
      <c r="F2458" s="136">
        <v>2016000</v>
      </c>
      <c r="G2458" s="28">
        <v>2016000</v>
      </c>
      <c r="H2458" s="28"/>
      <c r="I2458" s="28"/>
      <c r="J2458" s="28">
        <v>2016000</v>
      </c>
      <c r="K2458" s="488">
        <f t="shared" si="418"/>
        <v>88300.800000000003</v>
      </c>
      <c r="L2458" s="469">
        <v>1927699.2000000002</v>
      </c>
      <c r="M2458" s="28">
        <v>2016000</v>
      </c>
      <c r="N2458" s="28">
        <v>2016000</v>
      </c>
    </row>
    <row r="2459" spans="1:14" s="20" customFormat="1">
      <c r="A2459" s="253"/>
      <c r="B2459" s="231"/>
      <c r="C2459" s="32" t="s">
        <v>47</v>
      </c>
      <c r="D2459" s="239">
        <v>22020315</v>
      </c>
      <c r="E2459" s="135" t="s">
        <v>740</v>
      </c>
      <c r="F2459" s="136">
        <v>140000</v>
      </c>
      <c r="G2459" s="28">
        <v>140000</v>
      </c>
      <c r="H2459" s="28"/>
      <c r="I2459" s="28"/>
      <c r="J2459" s="28">
        <v>140000</v>
      </c>
      <c r="K2459" s="488">
        <f t="shared" si="418"/>
        <v>6132</v>
      </c>
      <c r="L2459" s="469">
        <v>133868</v>
      </c>
      <c r="M2459" s="28">
        <v>0</v>
      </c>
      <c r="N2459" s="28">
        <v>0</v>
      </c>
    </row>
    <row r="2460" spans="1:14" s="20" customFormat="1">
      <c r="A2460" s="253"/>
      <c r="B2460" s="231"/>
      <c r="C2460" s="32" t="s">
        <v>47</v>
      </c>
      <c r="D2460" s="239">
        <v>22020401</v>
      </c>
      <c r="E2460" s="135" t="s">
        <v>741</v>
      </c>
      <c r="F2460" s="136">
        <v>3600000</v>
      </c>
      <c r="G2460" s="28">
        <v>3600000</v>
      </c>
      <c r="H2460" s="28"/>
      <c r="I2460" s="28"/>
      <c r="J2460" s="28">
        <v>3600000</v>
      </c>
      <c r="K2460" s="488">
        <f t="shared" si="418"/>
        <v>157680</v>
      </c>
      <c r="L2460" s="469">
        <v>3442320</v>
      </c>
      <c r="M2460" s="28">
        <v>3600000</v>
      </c>
      <c r="N2460" s="28">
        <v>3600000</v>
      </c>
    </row>
    <row r="2461" spans="1:14" s="20" customFormat="1">
      <c r="A2461" s="253"/>
      <c r="B2461" s="231"/>
      <c r="C2461" s="32" t="s">
        <v>47</v>
      </c>
      <c r="D2461" s="239">
        <v>22020402</v>
      </c>
      <c r="E2461" s="135" t="s">
        <v>757</v>
      </c>
      <c r="F2461" s="136">
        <v>1080000</v>
      </c>
      <c r="G2461" s="28">
        <v>1080000</v>
      </c>
      <c r="H2461" s="28"/>
      <c r="I2461" s="28"/>
      <c r="J2461" s="28">
        <v>1080000</v>
      </c>
      <c r="K2461" s="488">
        <f t="shared" si="418"/>
        <v>47304</v>
      </c>
      <c r="L2461" s="469">
        <v>1032696</v>
      </c>
      <c r="M2461" s="28">
        <v>1080000</v>
      </c>
      <c r="N2461" s="28">
        <v>1080000</v>
      </c>
    </row>
    <row r="2462" spans="1:14" s="20" customFormat="1">
      <c r="A2462" s="253"/>
      <c r="B2462" s="231"/>
      <c r="C2462" s="32" t="s">
        <v>47</v>
      </c>
      <c r="D2462" s="239">
        <v>22020403</v>
      </c>
      <c r="E2462" s="135" t="s">
        <v>781</v>
      </c>
      <c r="F2462" s="136">
        <v>3720000</v>
      </c>
      <c r="G2462" s="28">
        <v>0</v>
      </c>
      <c r="H2462" s="28"/>
      <c r="I2462" s="28"/>
      <c r="J2462" s="28">
        <v>0</v>
      </c>
      <c r="K2462" s="488">
        <f t="shared" si="418"/>
        <v>0</v>
      </c>
      <c r="L2462" s="469">
        <v>0</v>
      </c>
      <c r="M2462" s="28">
        <v>3720000</v>
      </c>
      <c r="N2462" s="28">
        <v>3720000</v>
      </c>
    </row>
    <row r="2463" spans="1:14" s="20" customFormat="1">
      <c r="A2463" s="253"/>
      <c r="B2463" s="231"/>
      <c r="C2463" s="32" t="s">
        <v>47</v>
      </c>
      <c r="D2463" s="239">
        <v>22020404</v>
      </c>
      <c r="E2463" s="135" t="s">
        <v>742</v>
      </c>
      <c r="F2463" s="136">
        <v>2160000</v>
      </c>
      <c r="G2463" s="28">
        <v>2160000</v>
      </c>
      <c r="H2463" s="28"/>
      <c r="I2463" s="28"/>
      <c r="J2463" s="28">
        <v>2160000</v>
      </c>
      <c r="K2463" s="488">
        <f t="shared" si="418"/>
        <v>94608</v>
      </c>
      <c r="L2463" s="469">
        <v>2065392</v>
      </c>
      <c r="M2463" s="28">
        <v>2160000</v>
      </c>
      <c r="N2463" s="28">
        <v>2160000</v>
      </c>
    </row>
    <row r="2464" spans="1:14" s="20" customFormat="1">
      <c r="A2464" s="253"/>
      <c r="B2464" s="231"/>
      <c r="C2464" s="32" t="s">
        <v>47</v>
      </c>
      <c r="D2464" s="239">
        <v>22020405</v>
      </c>
      <c r="E2464" s="135" t="s">
        <v>743</v>
      </c>
      <c r="F2464" s="136">
        <v>480000</v>
      </c>
      <c r="G2464" s="28">
        <v>480000</v>
      </c>
      <c r="H2464" s="28"/>
      <c r="I2464" s="28"/>
      <c r="J2464" s="28">
        <v>480000</v>
      </c>
      <c r="K2464" s="488">
        <f t="shared" si="418"/>
        <v>21024</v>
      </c>
      <c r="L2464" s="469">
        <v>458976</v>
      </c>
      <c r="M2464" s="28">
        <v>480000</v>
      </c>
      <c r="N2464" s="28">
        <v>480000</v>
      </c>
    </row>
    <row r="2465" spans="1:14" s="20" customFormat="1">
      <c r="A2465" s="253"/>
      <c r="B2465" s="231"/>
      <c r="C2465" s="32" t="s">
        <v>47</v>
      </c>
      <c r="D2465" s="239">
        <v>22020504</v>
      </c>
      <c r="E2465" s="135" t="s">
        <v>897</v>
      </c>
      <c r="F2465" s="136">
        <v>6400000</v>
      </c>
      <c r="G2465" s="28">
        <v>0</v>
      </c>
      <c r="H2465" s="28"/>
      <c r="I2465" s="28"/>
      <c r="J2465" s="28">
        <v>0</v>
      </c>
      <c r="K2465" s="488">
        <f t="shared" si="418"/>
        <v>0</v>
      </c>
      <c r="L2465" s="469">
        <v>0</v>
      </c>
      <c r="M2465" s="28">
        <v>11750000</v>
      </c>
      <c r="N2465" s="28">
        <v>11750000</v>
      </c>
    </row>
    <row r="2466" spans="1:14" s="20" customFormat="1">
      <c r="A2466" s="253"/>
      <c r="B2466" s="231"/>
      <c r="C2466" s="32" t="s">
        <v>47</v>
      </c>
      <c r="D2466" s="239">
        <v>22020601</v>
      </c>
      <c r="E2466" s="135" t="s">
        <v>766</v>
      </c>
      <c r="F2466" s="136">
        <v>2400000</v>
      </c>
      <c r="G2466" s="28">
        <v>0</v>
      </c>
      <c r="H2466" s="28"/>
      <c r="I2466" s="28"/>
      <c r="J2466" s="28">
        <v>0</v>
      </c>
      <c r="K2466" s="488">
        <f t="shared" si="418"/>
        <v>0</v>
      </c>
      <c r="L2466" s="469">
        <v>0</v>
      </c>
      <c r="M2466" s="28">
        <v>2400000</v>
      </c>
      <c r="N2466" s="28">
        <v>2400000</v>
      </c>
    </row>
    <row r="2467" spans="1:14" s="20" customFormat="1">
      <c r="A2467" s="253"/>
      <c r="B2467" s="231"/>
      <c r="C2467" s="32" t="s">
        <v>47</v>
      </c>
      <c r="D2467" s="239">
        <v>22020605</v>
      </c>
      <c r="E2467" s="135" t="s">
        <v>768</v>
      </c>
      <c r="F2467" s="136">
        <v>1800000</v>
      </c>
      <c r="G2467" s="28">
        <v>0</v>
      </c>
      <c r="H2467" s="28"/>
      <c r="I2467" s="28"/>
      <c r="J2467" s="28">
        <v>0</v>
      </c>
      <c r="K2467" s="488">
        <f t="shared" si="418"/>
        <v>0</v>
      </c>
      <c r="L2467" s="469">
        <v>0</v>
      </c>
      <c r="M2467" s="28">
        <v>1800000</v>
      </c>
      <c r="N2467" s="28">
        <v>1800000</v>
      </c>
    </row>
    <row r="2468" spans="1:14" s="20" customFormat="1">
      <c r="A2468" s="253"/>
      <c r="B2468" s="231"/>
      <c r="C2468" s="32" t="s">
        <v>47</v>
      </c>
      <c r="D2468" s="239">
        <v>22020701</v>
      </c>
      <c r="E2468" s="135" t="s">
        <v>769</v>
      </c>
      <c r="F2468" s="136">
        <v>7500000</v>
      </c>
      <c r="G2468" s="28">
        <v>0</v>
      </c>
      <c r="H2468" s="28"/>
      <c r="I2468" s="28"/>
      <c r="J2468" s="28">
        <v>0</v>
      </c>
      <c r="K2468" s="488">
        <f t="shared" si="418"/>
        <v>0</v>
      </c>
      <c r="L2468" s="469">
        <v>0</v>
      </c>
      <c r="M2468" s="28">
        <v>7500000</v>
      </c>
      <c r="N2468" s="28">
        <v>7500000</v>
      </c>
    </row>
    <row r="2469" spans="1:14" s="20" customFormat="1">
      <c r="A2469" s="253"/>
      <c r="B2469" s="231"/>
      <c r="C2469" s="32" t="s">
        <v>47</v>
      </c>
      <c r="D2469" s="239">
        <v>22020702</v>
      </c>
      <c r="E2469" s="135" t="s">
        <v>964</v>
      </c>
      <c r="F2469" s="136">
        <v>7500000</v>
      </c>
      <c r="G2469" s="28">
        <v>0</v>
      </c>
      <c r="H2469" s="28"/>
      <c r="I2469" s="28"/>
      <c r="J2469" s="28">
        <v>0</v>
      </c>
      <c r="K2469" s="488">
        <f t="shared" si="418"/>
        <v>0</v>
      </c>
      <c r="L2469" s="469">
        <v>0</v>
      </c>
      <c r="M2469" s="28">
        <v>7500000</v>
      </c>
      <c r="N2469" s="28">
        <v>7500000</v>
      </c>
    </row>
    <row r="2470" spans="1:14" s="20" customFormat="1">
      <c r="A2470" s="253"/>
      <c r="B2470" s="231"/>
      <c r="C2470" s="32" t="s">
        <v>47</v>
      </c>
      <c r="D2470" s="239">
        <v>22020709</v>
      </c>
      <c r="E2470" s="135" t="s">
        <v>771</v>
      </c>
      <c r="F2470" s="136">
        <v>10000000</v>
      </c>
      <c r="G2470" s="28">
        <v>400000</v>
      </c>
      <c r="H2470" s="28"/>
      <c r="I2470" s="28"/>
      <c r="J2470" s="28">
        <v>400000</v>
      </c>
      <c r="K2470" s="488">
        <f t="shared" si="418"/>
        <v>17520</v>
      </c>
      <c r="L2470" s="469">
        <v>382480</v>
      </c>
      <c r="M2470" s="28">
        <v>10000000</v>
      </c>
      <c r="N2470" s="28">
        <v>10000000</v>
      </c>
    </row>
    <row r="2471" spans="1:14" s="20" customFormat="1">
      <c r="A2471" s="253"/>
      <c r="B2471" s="231"/>
      <c r="C2471" s="32" t="s">
        <v>47</v>
      </c>
      <c r="D2471" s="239">
        <v>22020710</v>
      </c>
      <c r="E2471" s="135" t="s">
        <v>820</v>
      </c>
      <c r="F2471" s="136">
        <v>22000000</v>
      </c>
      <c r="G2471" s="28">
        <v>15000000</v>
      </c>
      <c r="H2471" s="28"/>
      <c r="I2471" s="28"/>
      <c r="J2471" s="28">
        <v>15000000</v>
      </c>
      <c r="K2471" s="488">
        <f t="shared" si="418"/>
        <v>657000</v>
      </c>
      <c r="L2471" s="469">
        <v>14343000</v>
      </c>
      <c r="M2471" s="28">
        <v>22000000</v>
      </c>
      <c r="N2471" s="28">
        <v>22000000</v>
      </c>
    </row>
    <row r="2472" spans="1:14" s="20" customFormat="1">
      <c r="A2472" s="253"/>
      <c r="B2472" s="231"/>
      <c r="C2472" s="32" t="s">
        <v>47</v>
      </c>
      <c r="D2472" s="239">
        <v>22020801</v>
      </c>
      <c r="E2472" s="135" t="s">
        <v>747</v>
      </c>
      <c r="F2472" s="136">
        <v>4440000</v>
      </c>
      <c r="G2472" s="28">
        <v>4440000</v>
      </c>
      <c r="H2472" s="28"/>
      <c r="I2472" s="28"/>
      <c r="J2472" s="28">
        <v>4440000</v>
      </c>
      <c r="K2472" s="488">
        <f t="shared" si="418"/>
        <v>194472</v>
      </c>
      <c r="L2472" s="469">
        <v>4245528</v>
      </c>
      <c r="M2472" s="28">
        <v>4440000</v>
      </c>
      <c r="N2472" s="28">
        <v>4440000</v>
      </c>
    </row>
    <row r="2473" spans="1:14" s="20" customFormat="1">
      <c r="A2473" s="253"/>
      <c r="B2473" s="231"/>
      <c r="C2473" s="32" t="s">
        <v>47</v>
      </c>
      <c r="D2473" s="239">
        <v>22020803</v>
      </c>
      <c r="E2473" s="135" t="s">
        <v>748</v>
      </c>
      <c r="F2473" s="136">
        <v>1200000</v>
      </c>
      <c r="G2473" s="28">
        <v>1200000</v>
      </c>
      <c r="H2473" s="28"/>
      <c r="I2473" s="28"/>
      <c r="J2473" s="28">
        <v>1200000</v>
      </c>
      <c r="K2473" s="488">
        <f t="shared" si="418"/>
        <v>52560</v>
      </c>
      <c r="L2473" s="469">
        <v>1147440</v>
      </c>
      <c r="M2473" s="28">
        <v>1200000</v>
      </c>
      <c r="N2473" s="28">
        <v>1200000</v>
      </c>
    </row>
    <row r="2474" spans="1:14" s="20" customFormat="1">
      <c r="A2474" s="253"/>
      <c r="B2474" s="231"/>
      <c r="C2474" s="32" t="s">
        <v>47</v>
      </c>
      <c r="D2474" s="239">
        <v>22021001</v>
      </c>
      <c r="E2474" s="135" t="s">
        <v>772</v>
      </c>
      <c r="F2474" s="136">
        <v>24283000</v>
      </c>
      <c r="G2474" s="28">
        <v>4000000</v>
      </c>
      <c r="H2474" s="28"/>
      <c r="I2474" s="28"/>
      <c r="J2474" s="28">
        <v>4000000</v>
      </c>
      <c r="K2474" s="488">
        <f t="shared" si="418"/>
        <v>175200</v>
      </c>
      <c r="L2474" s="469">
        <v>3824800</v>
      </c>
      <c r="M2474" s="28">
        <v>37863000</v>
      </c>
      <c r="N2474" s="28">
        <v>37863000</v>
      </c>
    </row>
    <row r="2475" spans="1:14" s="20" customFormat="1">
      <c r="A2475" s="253"/>
      <c r="B2475" s="231"/>
      <c r="C2475" s="32" t="s">
        <v>47</v>
      </c>
      <c r="D2475" s="239">
        <v>22021003</v>
      </c>
      <c r="E2475" s="135" t="s">
        <v>760</v>
      </c>
      <c r="F2475" s="136">
        <v>34150000</v>
      </c>
      <c r="G2475" s="28">
        <v>5000000</v>
      </c>
      <c r="H2475" s="28"/>
      <c r="I2475" s="28"/>
      <c r="J2475" s="28">
        <v>5000000</v>
      </c>
      <c r="K2475" s="488">
        <f t="shared" si="418"/>
        <v>219000</v>
      </c>
      <c r="L2475" s="469">
        <v>4781000</v>
      </c>
      <c r="M2475" s="28">
        <v>52500000</v>
      </c>
      <c r="N2475" s="28">
        <v>52500000</v>
      </c>
    </row>
    <row r="2476" spans="1:14" s="20" customFormat="1">
      <c r="A2476" s="253"/>
      <c r="B2476" s="231"/>
      <c r="C2476" s="32" t="s">
        <v>47</v>
      </c>
      <c r="D2476" s="239">
        <v>22021011</v>
      </c>
      <c r="E2476" s="135" t="s">
        <v>881</v>
      </c>
      <c r="F2476" s="136">
        <v>5000000</v>
      </c>
      <c r="G2476" s="28">
        <v>5000000</v>
      </c>
      <c r="H2476" s="28"/>
      <c r="I2476" s="28"/>
      <c r="J2476" s="28">
        <v>5000000</v>
      </c>
      <c r="K2476" s="488">
        <f t="shared" si="418"/>
        <v>219000</v>
      </c>
      <c r="L2476" s="469">
        <v>4781000</v>
      </c>
      <c r="M2476" s="28">
        <v>0</v>
      </c>
      <c r="N2476" s="28">
        <v>0</v>
      </c>
    </row>
    <row r="2477" spans="1:14" s="20" customFormat="1">
      <c r="A2477" s="238"/>
      <c r="B2477" s="231"/>
      <c r="C2477" s="30" t="s">
        <v>1837</v>
      </c>
      <c r="D2477" s="23"/>
      <c r="E2477" s="137"/>
      <c r="F2477" s="137">
        <f>SUM(F2448:F2476)</f>
        <v>172163750</v>
      </c>
      <c r="G2477" s="114">
        <f>SUM(G2448:G2476)</f>
        <v>70144500</v>
      </c>
      <c r="H2477" s="114">
        <f t="shared" ref="H2477:I2477" si="419">SUM(H2448:H2476)</f>
        <v>0</v>
      </c>
      <c r="I2477" s="114">
        <f t="shared" si="419"/>
        <v>0</v>
      </c>
      <c r="J2477" s="114">
        <f>SUM(J2448:J2476)</f>
        <v>70144500</v>
      </c>
      <c r="K2477" s="490">
        <f t="shared" si="418"/>
        <v>3072329.1</v>
      </c>
      <c r="L2477" s="468">
        <f>SUM(L2448:L2476)</f>
        <v>67072170.899999999</v>
      </c>
      <c r="M2477" s="114">
        <f>SUM(M2448:M2476)</f>
        <v>204148750</v>
      </c>
      <c r="N2477" s="114">
        <f>SUM(N2448:N2476)</f>
        <v>204148750</v>
      </c>
    </row>
    <row r="2478" spans="1:14" s="66" customFormat="1" ht="30">
      <c r="A2478" s="238" t="s">
        <v>707</v>
      </c>
      <c r="B2478" s="231" t="s">
        <v>1832</v>
      </c>
      <c r="C2478" s="30"/>
      <c r="D2478" s="23"/>
      <c r="E2478" s="137"/>
      <c r="F2478" s="137">
        <f>F2477+F2447</f>
        <v>261505484</v>
      </c>
      <c r="G2478" s="114">
        <f>G2477+G2447</f>
        <v>159486234</v>
      </c>
      <c r="H2478" s="114">
        <f t="shared" ref="H2478:I2478" si="420">H2477+H2447</f>
        <v>0</v>
      </c>
      <c r="I2478" s="114">
        <f t="shared" si="420"/>
        <v>0</v>
      </c>
      <c r="J2478" s="114">
        <f>J2477+J2447</f>
        <v>159486234</v>
      </c>
      <c r="K2478" s="490"/>
      <c r="L2478" s="468">
        <f>L2477+L2447</f>
        <v>156413904.90000001</v>
      </c>
      <c r="M2478" s="114">
        <f>M2477+M2447</f>
        <v>302424657.39999998</v>
      </c>
      <c r="N2478" s="114">
        <f>N2477+N2447</f>
        <v>312252248.13999999</v>
      </c>
    </row>
    <row r="2479" spans="1:14" s="20" customFormat="1">
      <c r="A2479" s="260"/>
      <c r="B2479" s="448"/>
      <c r="G2479" s="22"/>
      <c r="H2479" s="22"/>
      <c r="I2479" s="22"/>
      <c r="J2479" s="22"/>
      <c r="K2479" s="504"/>
      <c r="L2479" s="470"/>
      <c r="M2479" s="22"/>
      <c r="N2479" s="303"/>
    </row>
    <row r="2480" spans="1:14" s="20" customFormat="1">
      <c r="A2480" s="260"/>
      <c r="B2480" s="448"/>
      <c r="G2480" s="22"/>
      <c r="H2480" s="22"/>
      <c r="I2480" s="22"/>
      <c r="J2480" s="22"/>
      <c r="K2480" s="504"/>
      <c r="L2480" s="470"/>
      <c r="M2480" s="22"/>
      <c r="N2480" s="303"/>
    </row>
    <row r="2481" spans="1:14" s="20" customFormat="1">
      <c r="A2481" s="260"/>
      <c r="B2481" s="448"/>
      <c r="G2481" s="22"/>
      <c r="H2481" s="22"/>
      <c r="I2481" s="22"/>
      <c r="J2481" s="22"/>
      <c r="K2481" s="504"/>
      <c r="L2481" s="470"/>
      <c r="M2481" s="22"/>
      <c r="N2481" s="303"/>
    </row>
    <row r="2482" spans="1:14" s="20" customFormat="1">
      <c r="A2482" s="260"/>
      <c r="B2482" s="448"/>
      <c r="G2482" s="22"/>
      <c r="H2482" s="22"/>
      <c r="I2482" s="22"/>
      <c r="J2482" s="22"/>
      <c r="K2482" s="504"/>
      <c r="L2482" s="470"/>
      <c r="M2482" s="22"/>
      <c r="N2482" s="303"/>
    </row>
    <row r="2483" spans="1:14" s="20" customFormat="1">
      <c r="A2483" s="260"/>
      <c r="B2483" s="448"/>
      <c r="G2483" s="22"/>
      <c r="H2483" s="22"/>
      <c r="I2483" s="22"/>
      <c r="J2483" s="22"/>
      <c r="K2483" s="504"/>
      <c r="L2483" s="470"/>
      <c r="M2483" s="22"/>
      <c r="N2483" s="303"/>
    </row>
    <row r="2484" spans="1:14" s="78" customFormat="1">
      <c r="A2484" s="261" t="s">
        <v>716</v>
      </c>
      <c r="B2484" s="448"/>
      <c r="C2484" s="66"/>
      <c r="D2484" s="66"/>
      <c r="E2484" s="66"/>
      <c r="F2484" s="226">
        <f t="shared" ref="F2484:N2484" si="421">F16+F45+F65+F98+F119+F156+F185+F219+F251+F287+F320+F349+F379+F409+F426+F450+F471+F494+F548+F574+F594+F614+F646+F674+F693+F721+F747+F779+F802+F818+F830+F872+F920+F951+F980+F1016+F1035+F1059+F1079+F1096+F1113+F1134+F1153+F1174+F1189+F1209+F1227+F1259+F1294+F1321+F1339+F1362+F1397+F1439+F1461+F1482+F1503+F1549+F1616+F1669+F1712+F1737+F1756+F1786+F1806+F1833+F1860+F1878+F1902+F1921+F1944+F1963+F1982+F2013+F2044+F2062+F2096+F2126+F2149+F2187+F2223+F2242+F2292+F2344+F2374+F2409+F2429+F2447</f>
        <v>37374311262.861816</v>
      </c>
      <c r="G2484" s="304">
        <f t="shared" ca="1" si="421"/>
        <v>39696915565.177017</v>
      </c>
      <c r="H2484" s="304">
        <f t="shared" ca="1" si="421"/>
        <v>2042310831.1900001</v>
      </c>
      <c r="I2484" s="304">
        <f t="shared" ca="1" si="421"/>
        <v>1628201132</v>
      </c>
      <c r="J2484" s="462">
        <f t="shared" si="421"/>
        <v>39791025264.36702</v>
      </c>
      <c r="K2484" s="505">
        <f t="shared" ref="K2484" si="422">K16+K45+K65+K98+K119+K156+K185+K219+K251+K287+K320+K349+K379+K409+K426+K450+K471+K494+K548+K574+K594+K614+K646+K674+K693+K721+K747+K779+K802+K818+K830+K872+K920+K951+K980+K1016+K1035+K1059+K1079+K1096+K1113+K1134+K1153+K1174+K1189+K1209+K1227+K1259+K1294+K1321+K1339+K1362+K1397+K1439+K1461+K1482+K1503+K1549+K1616+K1669+K1712+K1737+K1756+K1786+K1806+K1833+K1860+K1878+K1902+K1921+K1944+K1963+K1982+K2013+K2044+K2062+K2096+K2126+K2149+K2187+K2223+K2242+K2292+K2344+K2374+K2409+K2429+K2447</f>
        <v>0</v>
      </c>
      <c r="L2484" s="476">
        <f t="shared" si="421"/>
        <v>39791025264.36702</v>
      </c>
      <c r="M2484" s="304">
        <f t="shared" si="421"/>
        <v>43414807911.572975</v>
      </c>
      <c r="N2484" s="304">
        <f t="shared" si="421"/>
        <v>47531781277.51326</v>
      </c>
    </row>
    <row r="2485" spans="1:14" s="78" customFormat="1">
      <c r="A2485" s="261" t="s">
        <v>717</v>
      </c>
      <c r="B2485" s="448"/>
      <c r="C2485" s="66"/>
      <c r="D2485" s="66"/>
      <c r="E2485" s="66"/>
      <c r="F2485" s="227">
        <f t="shared" ref="F2485:N2485" si="423">F34+F61+F87+F107+F145+F174+F207+F235+F276+F307+F337+F359+F375+F388+F405+F422+F438+F467+F490+F534+F560+F590+F610+F633+F661+F689+F708+F736+F761+F798+F814+F826+F854+F916+F947+F969+F1005+F1031+F1048+F1075+F1092+F1109+F1130+F1149+F1163+F1185+F1205+F1223+F1255+F1280+F1317+F1335+F1349+F1381+F1426+F1457+F1478+F1499+F1545+F1612+F1665+F1697+F1733+F1752+F1782+F1802+F1829+F1847+F1874+F1898+F1917+F1940+F1959+F1978+F1998+F2031+F2058+F2081+F2114+F2145+F2163+F2183+F2209+F2238+F2288+F2331+F2370+F2404+F2425+F2443+F2477</f>
        <v>54246723848.141602</v>
      </c>
      <c r="G2485" s="304">
        <f t="shared" si="423"/>
        <v>45876544478.001602</v>
      </c>
      <c r="H2485" s="304">
        <f t="shared" si="423"/>
        <v>1029581935</v>
      </c>
      <c r="I2485" s="304">
        <f t="shared" si="423"/>
        <v>1551301552.97</v>
      </c>
      <c r="J2485" s="462">
        <f t="shared" si="423"/>
        <v>45674824860.031601</v>
      </c>
      <c r="K2485" s="505">
        <f t="shared" ref="K2485" si="424">K34+K61+K87+K107+K145+K174+K207+K235+K276+K307+K337+K359+K375+K388+K405+K422+K438+K467+K490+K534+K560+K590+K610+K633+K661+K689+K708+K736+K761+K798+K814+K826+K854+K916+K947+K969+K1005+K1031+K1048+K1075+K1092+K1109+K1130+K1149+K1163+K1185+K1205+K1223+K1255+K1280+K1317+K1335+K1349+K1381+K1426+K1457+K1478+K1499+K1545+K1612+K1665+K1697+K1733+K1752+K1782+K1802+K1829+K1847+K1874+K1898+K1917+K1940+K1959+K1978+K1998+K2031+K2058+K2081+K2114+K2145+K2163+K2183+K2209+K2238+K2288+K2331+K2370+K2404+K2425+K2443+K2477</f>
        <v>2000557328.8693836</v>
      </c>
      <c r="L2485" s="476">
        <f t="shared" si="423"/>
        <v>43674267531.162216</v>
      </c>
      <c r="M2485" s="304">
        <f t="shared" si="423"/>
        <v>38660190160.658607</v>
      </c>
      <c r="N2485" s="304">
        <f t="shared" si="423"/>
        <v>39225716456.095802</v>
      </c>
    </row>
    <row r="2486" spans="1:14" s="66" customFormat="1">
      <c r="A2486" s="261" t="s">
        <v>44</v>
      </c>
      <c r="B2486" s="448"/>
      <c r="F2486" s="226">
        <f>SUM(F2484:F2485)</f>
        <v>91621035111.003418</v>
      </c>
      <c r="G2486" s="304">
        <f ca="1">SUM(G2484:G2485)</f>
        <v>85573460043.178619</v>
      </c>
      <c r="H2486" s="304">
        <f ca="1">SUM(H2484:H2485)</f>
        <v>3071892766.1900001</v>
      </c>
      <c r="I2486" s="304">
        <f t="shared" ref="I2486" ca="1" si="425">SUM(I2484:I2485)</f>
        <v>3179502684.9700003</v>
      </c>
      <c r="J2486" s="462">
        <f>SUM(J2484:J2485)</f>
        <v>85465850124.398621</v>
      </c>
      <c r="K2486" s="505">
        <f>SUM(K2484:K2485)</f>
        <v>2000557328.8693836</v>
      </c>
      <c r="L2486" s="476">
        <f>SUM(L2484:L2485)</f>
        <v>83465292795.529236</v>
      </c>
      <c r="M2486" s="304">
        <f t="shared" ref="M2486:N2486" si="426">SUM(M2484:M2485)</f>
        <v>82074998072.231583</v>
      </c>
      <c r="N2486" s="304">
        <f t="shared" si="426"/>
        <v>86757497733.60907</v>
      </c>
    </row>
    <row r="2488" spans="1:14">
      <c r="G2488" s="102"/>
      <c r="H2488" s="102"/>
      <c r="I2488" s="102"/>
      <c r="J2488" s="227"/>
      <c r="K2488" s="506"/>
      <c r="L2488" s="471"/>
    </row>
    <row r="2489" spans="1:14">
      <c r="E2489" s="109"/>
      <c r="J2489" s="227"/>
      <c r="K2489" s="506"/>
    </row>
    <row r="2490" spans="1:14" s="9" customFormat="1">
      <c r="A2490" s="264"/>
      <c r="B2490" s="108"/>
      <c r="E2490" s="102"/>
      <c r="F2490" s="66"/>
      <c r="G2490" s="102"/>
      <c r="H2490" s="102"/>
      <c r="I2490" s="102"/>
      <c r="J2490" s="227"/>
      <c r="K2490" s="506"/>
      <c r="L2490" s="471"/>
      <c r="M2490" s="509"/>
    </row>
    <row r="2491" spans="1:14">
      <c r="B2491" s="463"/>
      <c r="E2491" s="18"/>
      <c r="N2491" s="141"/>
    </row>
    <row r="2492" spans="1:14">
      <c r="M2492" s="510"/>
    </row>
    <row r="2493" spans="1:14">
      <c r="G2493" s="102"/>
      <c r="H2493" s="102"/>
      <c r="I2493" s="102"/>
      <c r="J2493" s="227"/>
      <c r="K2493" s="506"/>
      <c r="L2493" s="471"/>
    </row>
  </sheetData>
  <autoFilter ref="A3:N2478"/>
  <printOptions horizontalCentered="1"/>
  <pageMargins left="0.51181102362204722" right="0.31496062992125984" top="0.47244094488188981" bottom="0.43307086614173229" header="0.31496062992125984" footer="0.23622047244094491"/>
  <pageSetup paperSize="9" scale="75" orientation="landscape" horizontalDpi="4294967295" verticalDpi="4294967295" r:id="rId1"/>
  <headerFooter>
    <oddFooter>&amp;C&amp;P</oddFooter>
  </headerFooter>
  <rowBreaks count="91" manualBreakCount="91">
    <brk id="36" max="8" man="1"/>
    <brk id="63" max="8" man="1"/>
    <brk id="89" max="8" man="1"/>
    <brk id="109" max="8" man="1"/>
    <brk id="147" max="8" man="1"/>
    <brk id="176" max="8" man="1"/>
    <brk id="209" max="8" man="1"/>
    <brk id="237" max="8" man="1"/>
    <brk id="278" max="8" man="1"/>
    <brk id="309" max="8" man="1"/>
    <brk id="339" max="8" man="1"/>
    <brk id="361" max="8" man="1"/>
    <brk id="377" max="8" man="1"/>
    <brk id="390" max="8" man="1"/>
    <brk id="407" max="8" man="1"/>
    <brk id="424" max="8" man="1"/>
    <brk id="440" max="8" man="1"/>
    <brk id="469" max="8" man="1"/>
    <brk id="492" max="8" man="1"/>
    <brk id="536" max="8" man="1"/>
    <brk id="562" max="8" man="1"/>
    <brk id="592" max="8" man="1"/>
    <brk id="612" max="8" man="1"/>
    <brk id="635" max="8" man="1"/>
    <brk id="663" max="8" man="1"/>
    <brk id="691" max="8" man="1"/>
    <brk id="710" max="8" man="1"/>
    <brk id="738" max="8" man="1"/>
    <brk id="763" max="8" man="1"/>
    <brk id="800" max="8" man="1"/>
    <brk id="816" max="8" man="1"/>
    <brk id="828" max="8" man="1"/>
    <brk id="856" max="8" man="1"/>
    <brk id="918" max="8" man="1"/>
    <brk id="949" max="8" man="1"/>
    <brk id="971" max="8" man="1"/>
    <brk id="1007" max="8" man="1"/>
    <brk id="1033" max="8" man="1"/>
    <brk id="1050" max="8" man="1"/>
    <brk id="1077" max="8" man="1"/>
    <brk id="1094" max="8" man="1"/>
    <brk id="1111" max="8" man="1"/>
    <brk id="1132" max="8" man="1"/>
    <brk id="1151" max="8" man="1"/>
    <brk id="1165" max="8" man="1"/>
    <brk id="1187" max="8" man="1"/>
    <brk id="1207" max="8" man="1"/>
    <brk id="1225" max="8" man="1"/>
    <brk id="1257" max="8" man="1"/>
    <brk id="1282" max="8" man="1"/>
    <brk id="1319" max="8" man="1"/>
    <brk id="1337" max="8" man="1"/>
    <brk id="1351" max="8" man="1"/>
    <brk id="1383" max="8" man="1"/>
    <brk id="1428" max="8" man="1"/>
    <brk id="1459" max="8" man="1"/>
    <brk id="1480" max="8" man="1"/>
    <brk id="1501" max="8" man="1"/>
    <brk id="1547" max="8" man="1"/>
    <brk id="1614" max="8" man="1"/>
    <brk id="1667" max="8" man="1"/>
    <brk id="1699" max="8" man="1"/>
    <brk id="1735" max="8" man="1"/>
    <brk id="1754" max="8" man="1"/>
    <brk id="1784" max="8" man="1"/>
    <brk id="1804" max="8" man="1"/>
    <brk id="1831" max="8" man="1"/>
    <brk id="1849" max="8" man="1"/>
    <brk id="1876" max="8" man="1"/>
    <brk id="1900" max="8" man="1"/>
    <brk id="1919" max="8" man="1"/>
    <brk id="1942" max="8" man="1"/>
    <brk id="1961" max="8" man="1"/>
    <brk id="1980" max="8" man="1"/>
    <brk id="2000" max="8" man="1"/>
    <brk id="2033" max="8" man="1"/>
    <brk id="2060" max="8" man="1"/>
    <brk id="2083" max="8" man="1"/>
    <brk id="2116" max="8" man="1"/>
    <brk id="2147" max="8" man="1"/>
    <brk id="2165" max="8" man="1"/>
    <brk id="2184" max="8" man="1"/>
    <brk id="2211" max="8" man="1"/>
    <brk id="2240" max="8" man="1"/>
    <brk id="2290" max="8" man="1"/>
    <brk id="2333" max="8" man="1"/>
    <brk id="2372" max="8" man="1"/>
    <brk id="2406" max="8" man="1"/>
    <brk id="2427" max="8" man="1"/>
    <brk id="2445" max="8" man="1"/>
    <brk id="2479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opLeftCell="A118" zoomScale="110" zoomScaleNormal="110" zoomScaleSheetLayoutView="110" workbookViewId="0">
      <selection activeCell="F129" sqref="F129"/>
    </sheetView>
  </sheetViews>
  <sheetFormatPr defaultColWidth="9.140625" defaultRowHeight="15"/>
  <cols>
    <col min="1" max="1" width="9.140625" style="38" customWidth="1"/>
    <col min="2" max="2" width="65.5703125" style="38" customWidth="1"/>
    <col min="3" max="3" width="20.42578125" style="38" customWidth="1"/>
    <col min="4" max="4" width="21" style="38" hidden="1" customWidth="1"/>
    <col min="5" max="5" width="21" style="278" hidden="1" customWidth="1"/>
    <col min="6" max="6" width="21.28515625" style="78" customWidth="1"/>
    <col min="7" max="16384" width="9.140625" style="38"/>
  </cols>
  <sheetData>
    <row r="1" spans="1:6" ht="18.75">
      <c r="A1" s="534" t="s">
        <v>1082</v>
      </c>
      <c r="B1" s="534"/>
      <c r="C1" s="534"/>
      <c r="D1" s="534"/>
      <c r="E1" s="534"/>
      <c r="F1" s="534"/>
    </row>
    <row r="2" spans="1:6">
      <c r="A2" s="40"/>
      <c r="B2" s="40"/>
      <c r="C2" s="40"/>
      <c r="D2" s="40"/>
      <c r="E2" s="265"/>
      <c r="F2" s="70"/>
    </row>
    <row r="3" spans="1:6" s="44" customFormat="1" ht="30">
      <c r="A3" s="41"/>
      <c r="B3" s="42" t="s">
        <v>1</v>
      </c>
      <c r="C3" s="43" t="s">
        <v>162</v>
      </c>
      <c r="D3" s="43" t="s">
        <v>166</v>
      </c>
      <c r="E3" s="266" t="s">
        <v>166</v>
      </c>
      <c r="F3" s="246" t="s">
        <v>2093</v>
      </c>
    </row>
    <row r="4" spans="1:6">
      <c r="A4" s="45"/>
      <c r="B4" s="46" t="s">
        <v>167</v>
      </c>
      <c r="C4" s="47">
        <f>C26</f>
        <v>54420550885</v>
      </c>
      <c r="D4" s="47">
        <f>D26</f>
        <v>17229843982.494324</v>
      </c>
      <c r="E4" s="267">
        <f>E26</f>
        <v>7581922206.9499998</v>
      </c>
      <c r="F4" s="411">
        <f>F26</f>
        <v>14987251583.854996</v>
      </c>
    </row>
    <row r="5" spans="1:6">
      <c r="A5" s="45"/>
      <c r="B5" s="46" t="s">
        <v>164</v>
      </c>
      <c r="C5" s="47">
        <f>C37</f>
        <v>12626460737</v>
      </c>
      <c r="D5" s="47">
        <f>D37</f>
        <v>9469838052.75</v>
      </c>
      <c r="E5" s="267">
        <f>E37</f>
        <v>9469838052.75</v>
      </c>
      <c r="F5" s="411">
        <f>F37</f>
        <v>9469838052.75</v>
      </c>
    </row>
    <row r="6" spans="1:6">
      <c r="A6" s="45"/>
      <c r="B6" s="46" t="s">
        <v>168</v>
      </c>
      <c r="C6" s="47">
        <f>C51</f>
        <v>18250000000</v>
      </c>
      <c r="D6" s="47">
        <f>D51</f>
        <v>10500630000</v>
      </c>
      <c r="E6" s="267">
        <f>E51</f>
        <v>10500630000</v>
      </c>
      <c r="F6" s="411">
        <f>F51</f>
        <v>6650315000</v>
      </c>
    </row>
    <row r="7" spans="1:6">
      <c r="A7" s="45"/>
      <c r="B7" s="46" t="s">
        <v>12</v>
      </c>
      <c r="C7" s="47">
        <f>C69</f>
        <v>6016577789</v>
      </c>
      <c r="D7" s="47">
        <f>D69</f>
        <v>50783422822.270004</v>
      </c>
      <c r="E7" s="267">
        <f>E69</f>
        <v>50783422822.270004</v>
      </c>
      <c r="F7" s="411">
        <f>F69</f>
        <v>55908309846.930008</v>
      </c>
    </row>
    <row r="8" spans="1:6">
      <c r="A8" s="45"/>
      <c r="B8" s="46" t="s">
        <v>23</v>
      </c>
      <c r="C8" s="47">
        <f>C93</f>
        <v>2079288767.4000001</v>
      </c>
      <c r="D8" s="47">
        <f>D93</f>
        <v>4350461665.5999994</v>
      </c>
      <c r="E8" s="267">
        <f>E93</f>
        <v>4350461665.5999994</v>
      </c>
      <c r="F8" s="411">
        <f>F93</f>
        <v>7135461665.5999994</v>
      </c>
    </row>
    <row r="9" spans="1:6">
      <c r="A9" s="45"/>
      <c r="B9" s="46" t="s">
        <v>27</v>
      </c>
      <c r="C9" s="47">
        <f>C129</f>
        <v>13779798471.169998</v>
      </c>
      <c r="D9" s="47">
        <f>D129</f>
        <v>9639398513.1450005</v>
      </c>
      <c r="E9" s="267">
        <f>E129</f>
        <v>9639398513.1450005</v>
      </c>
      <c r="F9" s="411">
        <f>F129</f>
        <v>35308883903.145004</v>
      </c>
    </row>
    <row r="10" spans="1:6">
      <c r="A10" s="45"/>
      <c r="B10" s="46" t="s">
        <v>169</v>
      </c>
      <c r="C10" s="47">
        <f>C139</f>
        <v>1100000000</v>
      </c>
      <c r="D10" s="47">
        <f>D139</f>
        <v>1431464125</v>
      </c>
      <c r="E10" s="267">
        <f>E139</f>
        <v>1431464125</v>
      </c>
      <c r="F10" s="411">
        <v>0</v>
      </c>
    </row>
    <row r="11" spans="1:6" s="9" customFormat="1">
      <c r="A11" s="48"/>
      <c r="B11" s="49" t="s">
        <v>163</v>
      </c>
      <c r="C11" s="51">
        <f>SUM(C4:C10)</f>
        <v>108272676649.56999</v>
      </c>
      <c r="D11" s="51">
        <f>SUM(D4:D10)</f>
        <v>103405059161.25934</v>
      </c>
      <c r="E11" s="268">
        <f>SUM(E4:E10)</f>
        <v>93757137385.715012</v>
      </c>
      <c r="F11" s="412">
        <f>SUM(F4:F10)</f>
        <v>129460060052.28001</v>
      </c>
    </row>
    <row r="12" spans="1:6">
      <c r="A12" s="52"/>
      <c r="B12" s="53"/>
      <c r="C12" s="54"/>
      <c r="D12" s="54"/>
      <c r="E12" s="269"/>
      <c r="F12" s="413"/>
    </row>
    <row r="13" spans="1:6">
      <c r="A13" s="55"/>
      <c r="B13" s="56"/>
      <c r="C13" s="57"/>
      <c r="D13" s="57"/>
      <c r="E13" s="270"/>
      <c r="F13" s="414"/>
    </row>
    <row r="14" spans="1:6">
      <c r="A14" s="55"/>
      <c r="B14" s="56"/>
      <c r="C14" s="57"/>
      <c r="D14" s="57"/>
      <c r="E14" s="270"/>
      <c r="F14" s="415"/>
    </row>
    <row r="15" spans="1:6">
      <c r="A15" s="55"/>
      <c r="B15" s="58"/>
      <c r="C15" s="59"/>
      <c r="D15" s="59"/>
      <c r="E15" s="271"/>
      <c r="F15" s="416"/>
    </row>
    <row r="16" spans="1:6">
      <c r="A16" s="55"/>
      <c r="B16" s="56"/>
      <c r="C16" s="57"/>
      <c r="D16" s="57"/>
      <c r="E16" s="270"/>
      <c r="F16" s="415"/>
    </row>
    <row r="17" spans="1:6">
      <c r="A17" s="55"/>
      <c r="B17" s="56"/>
      <c r="C17" s="57"/>
      <c r="D17" s="57"/>
      <c r="E17" s="270"/>
      <c r="F17" s="415"/>
    </row>
    <row r="18" spans="1:6">
      <c r="A18" s="55"/>
      <c r="B18" s="56"/>
      <c r="C18" s="57"/>
      <c r="D18" s="57"/>
      <c r="E18" s="270"/>
      <c r="F18" s="415"/>
    </row>
    <row r="19" spans="1:6">
      <c r="A19" s="55"/>
      <c r="B19" s="56"/>
      <c r="C19" s="57"/>
      <c r="D19" s="57"/>
      <c r="E19" s="270"/>
      <c r="F19" s="415"/>
    </row>
    <row r="20" spans="1:6">
      <c r="A20" s="55"/>
      <c r="B20" s="56"/>
      <c r="C20" s="57"/>
      <c r="D20" s="57"/>
      <c r="E20" s="270"/>
      <c r="F20" s="415"/>
    </row>
    <row r="21" spans="1:6" ht="18.75">
      <c r="A21" s="535" t="s">
        <v>1693</v>
      </c>
      <c r="B21" s="535"/>
      <c r="C21" s="535"/>
      <c r="D21" s="535"/>
      <c r="E21" s="535"/>
      <c r="F21" s="535"/>
    </row>
    <row r="22" spans="1:6">
      <c r="A22" s="55"/>
      <c r="B22" s="56"/>
      <c r="C22" s="57"/>
      <c r="D22" s="57"/>
      <c r="E22" s="270"/>
      <c r="F22" s="415"/>
    </row>
    <row r="23" spans="1:6">
      <c r="A23" s="60"/>
      <c r="B23" s="61" t="s">
        <v>167</v>
      </c>
      <c r="C23" s="62"/>
      <c r="D23" s="62"/>
      <c r="E23" s="272"/>
      <c r="F23" s="417"/>
    </row>
    <row r="24" spans="1:6" s="44" customFormat="1" ht="30">
      <c r="A24" s="41"/>
      <c r="B24" s="42" t="s">
        <v>1</v>
      </c>
      <c r="C24" s="43" t="s">
        <v>162</v>
      </c>
      <c r="D24" s="43" t="s">
        <v>166</v>
      </c>
      <c r="E24" s="266" t="s">
        <v>166</v>
      </c>
      <c r="F24" s="246" t="s">
        <v>2093</v>
      </c>
    </row>
    <row r="25" spans="1:6">
      <c r="A25" s="36" t="s">
        <v>6</v>
      </c>
      <c r="B25" s="63" t="s">
        <v>167</v>
      </c>
      <c r="C25" s="64">
        <v>54420550885</v>
      </c>
      <c r="D25" s="64">
        <v>17229843982.494324</v>
      </c>
      <c r="E25" s="273">
        <v>7581922206.9499998</v>
      </c>
      <c r="F25" s="418">
        <v>14987251583.854996</v>
      </c>
    </row>
    <row r="26" spans="1:6" s="66" customFormat="1">
      <c r="A26" s="23"/>
      <c r="B26" s="8" t="s">
        <v>170</v>
      </c>
      <c r="C26" s="65">
        <f>SUM(C25:C25)</f>
        <v>54420550885</v>
      </c>
      <c r="D26" s="65">
        <f>SUM(D25:D25)</f>
        <v>17229843982.494324</v>
      </c>
      <c r="E26" s="274">
        <f>SUM(E25:E25)</f>
        <v>7581922206.9499998</v>
      </c>
      <c r="F26" s="65">
        <f>SUM(F25)</f>
        <v>14987251583.854996</v>
      </c>
    </row>
    <row r="27" spans="1:6" s="66" customFormat="1">
      <c r="A27" s="67"/>
      <c r="B27" s="68"/>
      <c r="C27" s="69"/>
      <c r="D27" s="69"/>
      <c r="E27" s="275"/>
      <c r="F27" s="69"/>
    </row>
    <row r="28" spans="1:6" s="66" customFormat="1">
      <c r="A28" s="70"/>
      <c r="B28" s="71"/>
      <c r="C28" s="72"/>
      <c r="D28" s="72"/>
      <c r="E28" s="276"/>
      <c r="F28" s="72"/>
    </row>
    <row r="29" spans="1:6" s="66" customFormat="1">
      <c r="A29" s="70"/>
      <c r="B29" s="71"/>
      <c r="C29" s="72"/>
      <c r="D29" s="72"/>
      <c r="E29" s="276"/>
      <c r="F29" s="72"/>
    </row>
    <row r="30" spans="1:6" s="66" customFormat="1">
      <c r="A30" s="70"/>
      <c r="B30" s="71"/>
      <c r="C30" s="72"/>
      <c r="D30" s="72"/>
      <c r="E30" s="276"/>
      <c r="F30" s="72"/>
    </row>
    <row r="31" spans="1:6" s="66" customFormat="1">
      <c r="A31" s="70"/>
      <c r="B31" s="71"/>
      <c r="C31" s="72"/>
      <c r="D31" s="72"/>
      <c r="E31" s="276"/>
      <c r="F31" s="72"/>
    </row>
    <row r="32" spans="1:6" s="66" customFormat="1" ht="18.75">
      <c r="A32" s="535" t="s">
        <v>1693</v>
      </c>
      <c r="B32" s="535"/>
      <c r="C32" s="535"/>
      <c r="D32" s="535"/>
      <c r="E32" s="535"/>
      <c r="F32" s="535"/>
    </row>
    <row r="33" spans="1:6" s="66" customFormat="1">
      <c r="A33" s="55"/>
      <c r="B33" s="56"/>
      <c r="C33" s="57"/>
      <c r="D33" s="57"/>
      <c r="E33" s="270"/>
      <c r="F33" s="415"/>
    </row>
    <row r="34" spans="1:6" s="66" customFormat="1">
      <c r="A34" s="60"/>
      <c r="B34" s="61" t="s">
        <v>164</v>
      </c>
      <c r="C34" s="62"/>
      <c r="D34" s="62"/>
      <c r="E34" s="272"/>
      <c r="F34" s="417"/>
    </row>
    <row r="35" spans="1:6" s="73" customFormat="1" ht="30">
      <c r="A35" s="41"/>
      <c r="B35" s="42" t="s">
        <v>1</v>
      </c>
      <c r="C35" s="43" t="s">
        <v>162</v>
      </c>
      <c r="D35" s="43" t="s">
        <v>166</v>
      </c>
      <c r="E35" s="266" t="s">
        <v>166</v>
      </c>
      <c r="F35" s="246" t="s">
        <v>2093</v>
      </c>
    </row>
    <row r="36" spans="1:6" s="66" customFormat="1">
      <c r="A36" s="36" t="s">
        <v>6</v>
      </c>
      <c r="B36" s="63" t="s">
        <v>164</v>
      </c>
      <c r="C36" s="74">
        <v>12626460737</v>
      </c>
      <c r="D36" s="74">
        <v>9469838052.75</v>
      </c>
      <c r="E36" s="277">
        <v>9469838052.75</v>
      </c>
      <c r="F36" s="76">
        <v>9469838052.75</v>
      </c>
    </row>
    <row r="37" spans="1:6" s="66" customFormat="1">
      <c r="A37" s="23"/>
      <c r="B37" s="8" t="s">
        <v>171</v>
      </c>
      <c r="C37" s="65">
        <f>SUM(C36)</f>
        <v>12626460737</v>
      </c>
      <c r="D37" s="65">
        <f>SUM(D36)</f>
        <v>9469838052.75</v>
      </c>
      <c r="E37" s="274">
        <f>SUM(E36)</f>
        <v>9469838052.75</v>
      </c>
      <c r="F37" s="65">
        <f>SUM(F36)</f>
        <v>9469838052.75</v>
      </c>
    </row>
    <row r="38" spans="1:6" s="66" customFormat="1">
      <c r="A38" s="67"/>
      <c r="B38" s="68"/>
      <c r="C38" s="69"/>
      <c r="D38" s="69"/>
      <c r="E38" s="275"/>
      <c r="F38" s="69"/>
    </row>
    <row r="39" spans="1:6" s="66" customFormat="1">
      <c r="A39" s="70"/>
      <c r="B39" s="71"/>
      <c r="C39" s="72"/>
      <c r="D39" s="72"/>
      <c r="E39" s="276"/>
      <c r="F39" s="72"/>
    </row>
    <row r="40" spans="1:6" s="66" customFormat="1">
      <c r="A40" s="70"/>
      <c r="B40" s="71"/>
      <c r="C40" s="72"/>
      <c r="D40" s="72"/>
      <c r="E40" s="276"/>
      <c r="F40" s="72"/>
    </row>
    <row r="41" spans="1:6" s="66" customFormat="1">
      <c r="A41" s="70"/>
      <c r="B41" s="71"/>
      <c r="C41" s="72"/>
      <c r="D41" s="72"/>
      <c r="E41" s="276"/>
      <c r="F41" s="72"/>
    </row>
    <row r="42" spans="1:6" s="66" customFormat="1">
      <c r="A42" s="70"/>
      <c r="B42" s="71"/>
      <c r="C42" s="72"/>
      <c r="D42" s="72"/>
      <c r="E42" s="276"/>
      <c r="F42" s="72"/>
    </row>
    <row r="43" spans="1:6" s="66" customFormat="1" ht="18.75">
      <c r="A43" s="535" t="s">
        <v>1693</v>
      </c>
      <c r="B43" s="535"/>
      <c r="C43" s="535"/>
      <c r="D43" s="535"/>
      <c r="E43" s="535"/>
      <c r="F43" s="535"/>
    </row>
    <row r="44" spans="1:6" s="66" customFormat="1">
      <c r="A44" s="55"/>
      <c r="B44" s="56"/>
      <c r="C44" s="57"/>
      <c r="D44" s="57"/>
      <c r="E44" s="270"/>
      <c r="F44" s="415"/>
    </row>
    <row r="45" spans="1:6" s="66" customFormat="1">
      <c r="A45" s="60"/>
      <c r="B45" s="61" t="s">
        <v>83</v>
      </c>
      <c r="C45" s="62"/>
      <c r="D45" s="62"/>
      <c r="E45" s="272"/>
      <c r="F45" s="417"/>
    </row>
    <row r="46" spans="1:6" s="73" customFormat="1" ht="30">
      <c r="A46" s="41"/>
      <c r="B46" s="42" t="s">
        <v>1</v>
      </c>
      <c r="C46" s="43" t="s">
        <v>162</v>
      </c>
      <c r="D46" s="43" t="s">
        <v>166</v>
      </c>
      <c r="E46" s="266" t="s">
        <v>2093</v>
      </c>
      <c r="F46" s="246" t="s">
        <v>2093</v>
      </c>
    </row>
    <row r="47" spans="1:6" s="66" customFormat="1">
      <c r="A47" s="36" t="s">
        <v>6</v>
      </c>
      <c r="B47" s="75" t="s">
        <v>1083</v>
      </c>
      <c r="C47" s="74">
        <v>2000000000</v>
      </c>
      <c r="D47" s="74">
        <v>2000000000</v>
      </c>
      <c r="E47" s="277">
        <v>2000000000</v>
      </c>
      <c r="F47" s="76">
        <v>1000000000</v>
      </c>
    </row>
    <row r="48" spans="1:6" s="66" customFormat="1">
      <c r="A48" s="36" t="s">
        <v>7</v>
      </c>
      <c r="B48" s="75" t="s">
        <v>172</v>
      </c>
      <c r="C48" s="74">
        <v>250000000</v>
      </c>
      <c r="D48" s="74">
        <v>500000000</v>
      </c>
      <c r="E48" s="277">
        <v>500000000</v>
      </c>
      <c r="F48" s="76">
        <v>250000000</v>
      </c>
    </row>
    <row r="49" spans="1:6" s="66" customFormat="1">
      <c r="A49" s="36" t="s">
        <v>8</v>
      </c>
      <c r="B49" s="75" t="s">
        <v>2143</v>
      </c>
      <c r="C49" s="74">
        <v>10000000000</v>
      </c>
      <c r="D49" s="74">
        <v>8000630000</v>
      </c>
      <c r="E49" s="277">
        <v>8000630000</v>
      </c>
      <c r="F49" s="76">
        <v>4000315000</v>
      </c>
    </row>
    <row r="50" spans="1:6" s="66" customFormat="1">
      <c r="A50" s="36" t="s">
        <v>9</v>
      </c>
      <c r="B50" s="75" t="s">
        <v>173</v>
      </c>
      <c r="C50" s="74">
        <v>6000000000</v>
      </c>
      <c r="D50" s="74"/>
      <c r="E50" s="277"/>
      <c r="F50" s="76">
        <v>1400000000</v>
      </c>
    </row>
    <row r="51" spans="1:6" s="66" customFormat="1">
      <c r="A51" s="23"/>
      <c r="B51" s="8" t="s">
        <v>174</v>
      </c>
      <c r="C51" s="65">
        <f>SUM(C47:C50)</f>
        <v>18250000000</v>
      </c>
      <c r="D51" s="65">
        <f>SUM(D47:D50)</f>
        <v>10500630000</v>
      </c>
      <c r="E51" s="274">
        <f>SUM(E47:E50)</f>
        <v>10500630000</v>
      </c>
      <c r="F51" s="65">
        <f>SUM(F47:F50)</f>
        <v>6650315000</v>
      </c>
    </row>
    <row r="52" spans="1:6" s="66" customFormat="1">
      <c r="A52" s="70"/>
      <c r="B52" s="71"/>
      <c r="C52" s="72"/>
      <c r="D52" s="72"/>
      <c r="E52" s="276"/>
      <c r="F52" s="72"/>
    </row>
    <row r="53" spans="1:6" s="66" customFormat="1">
      <c r="A53" s="70"/>
      <c r="B53" s="71"/>
      <c r="C53" s="72"/>
      <c r="D53" s="72"/>
      <c r="E53" s="276"/>
      <c r="F53" s="72"/>
    </row>
    <row r="54" spans="1:6" s="66" customFormat="1">
      <c r="A54" s="70"/>
      <c r="B54" s="71"/>
      <c r="C54" s="72"/>
      <c r="D54" s="72"/>
      <c r="E54" s="276"/>
      <c r="F54" s="72"/>
    </row>
    <row r="55" spans="1:6" s="66" customFormat="1" ht="18.75">
      <c r="A55" s="535" t="s">
        <v>1693</v>
      </c>
      <c r="B55" s="535"/>
      <c r="C55" s="535"/>
      <c r="D55" s="535"/>
      <c r="E55" s="535"/>
      <c r="F55" s="535"/>
    </row>
    <row r="56" spans="1:6" s="66" customFormat="1">
      <c r="A56" s="70"/>
      <c r="B56" s="71"/>
      <c r="C56" s="72"/>
      <c r="D56" s="72"/>
      <c r="E56" s="276"/>
      <c r="F56" s="72"/>
    </row>
    <row r="57" spans="1:6">
      <c r="A57" s="60"/>
      <c r="B57" s="61" t="s">
        <v>175</v>
      </c>
      <c r="C57" s="62"/>
      <c r="D57" s="62"/>
      <c r="E57" s="272"/>
      <c r="F57" s="417"/>
    </row>
    <row r="58" spans="1:6" s="44" customFormat="1" ht="30">
      <c r="A58" s="41"/>
      <c r="B58" s="42" t="s">
        <v>1</v>
      </c>
      <c r="C58" s="43" t="s">
        <v>162</v>
      </c>
      <c r="D58" s="43" t="s">
        <v>166</v>
      </c>
      <c r="E58" s="266" t="s">
        <v>2093</v>
      </c>
      <c r="F58" s="246" t="s">
        <v>2093</v>
      </c>
    </row>
    <row r="59" spans="1:6">
      <c r="A59" s="36" t="s">
        <v>6</v>
      </c>
      <c r="B59" s="75" t="s">
        <v>176</v>
      </c>
      <c r="C59" s="76">
        <v>3111390436.6900001</v>
      </c>
      <c r="D59" s="76">
        <v>3111390436.6900001</v>
      </c>
      <c r="E59" s="277">
        <v>3111390436.6900001</v>
      </c>
      <c r="F59" s="76">
        <v>3111390436.6900001</v>
      </c>
    </row>
    <row r="60" spans="1:6">
      <c r="A60" s="36" t="s">
        <v>7</v>
      </c>
      <c r="B60" s="75" t="s">
        <v>177</v>
      </c>
      <c r="C60" s="76">
        <v>176000000</v>
      </c>
      <c r="D60" s="76">
        <v>291743500</v>
      </c>
      <c r="E60" s="277">
        <v>291743500</v>
      </c>
      <c r="F60" s="76">
        <v>291743500</v>
      </c>
    </row>
    <row r="61" spans="1:6" s="78" customFormat="1">
      <c r="A61" s="77" t="s">
        <v>8</v>
      </c>
      <c r="B61" s="32" t="s">
        <v>178</v>
      </c>
      <c r="C61" s="76">
        <v>409500000</v>
      </c>
      <c r="D61" s="76"/>
      <c r="E61" s="76"/>
      <c r="F61" s="76">
        <v>250000000</v>
      </c>
    </row>
    <row r="62" spans="1:6" s="78" customFormat="1">
      <c r="A62" s="77" t="s">
        <v>9</v>
      </c>
      <c r="B62" s="32" t="s">
        <v>179</v>
      </c>
      <c r="C62" s="76">
        <v>522296940</v>
      </c>
      <c r="D62" s="76">
        <v>692221708</v>
      </c>
      <c r="E62" s="76">
        <v>692221708</v>
      </c>
      <c r="F62" s="76">
        <v>692221708</v>
      </c>
    </row>
    <row r="63" spans="1:6" s="78" customFormat="1">
      <c r="A63" s="77" t="s">
        <v>10</v>
      </c>
      <c r="B63" s="32" t="s">
        <v>180</v>
      </c>
      <c r="C63" s="76">
        <v>72000000</v>
      </c>
      <c r="D63" s="76">
        <v>0</v>
      </c>
      <c r="E63" s="76">
        <v>0</v>
      </c>
      <c r="F63" s="76">
        <v>0</v>
      </c>
    </row>
    <row r="64" spans="1:6" s="78" customFormat="1">
      <c r="A64" s="77" t="s">
        <v>13</v>
      </c>
      <c r="B64" s="32" t="s">
        <v>181</v>
      </c>
      <c r="C64" s="76">
        <v>1667973840.1099999</v>
      </c>
      <c r="D64" s="76">
        <v>2591495725.29</v>
      </c>
      <c r="E64" s="76">
        <v>2591495725.29</v>
      </c>
      <c r="F64" s="76">
        <v>2591495725.29</v>
      </c>
    </row>
    <row r="65" spans="1:6" s="78" customFormat="1">
      <c r="A65" s="77" t="s">
        <v>14</v>
      </c>
      <c r="B65" s="32" t="s">
        <v>21</v>
      </c>
      <c r="C65" s="76"/>
      <c r="D65" s="76">
        <v>2000000000</v>
      </c>
      <c r="E65" s="76">
        <v>2000000000</v>
      </c>
      <c r="F65" s="76">
        <v>1500000000</v>
      </c>
    </row>
    <row r="66" spans="1:6" s="78" customFormat="1">
      <c r="A66" s="77" t="s">
        <v>15</v>
      </c>
      <c r="B66" s="32" t="s">
        <v>182</v>
      </c>
      <c r="C66" s="76"/>
      <c r="D66" s="76">
        <v>2039154880</v>
      </c>
      <c r="E66" s="76">
        <v>2039154880</v>
      </c>
      <c r="F66" s="76">
        <v>2039154880</v>
      </c>
    </row>
    <row r="67" spans="1:6" s="78" customFormat="1">
      <c r="A67" s="77" t="s">
        <v>16</v>
      </c>
      <c r="B67" s="32" t="s">
        <v>183</v>
      </c>
      <c r="C67" s="76">
        <v>57416572.200000003</v>
      </c>
      <c r="D67" s="76">
        <v>57416572.289999999</v>
      </c>
      <c r="E67" s="76">
        <v>57416572.289999999</v>
      </c>
      <c r="F67" s="76">
        <v>57416572.289999999</v>
      </c>
    </row>
    <row r="68" spans="1:6" s="78" customFormat="1">
      <c r="A68" s="77" t="s">
        <v>19</v>
      </c>
      <c r="B68" s="332" t="s">
        <v>2181</v>
      </c>
      <c r="C68" s="76"/>
      <c r="D68" s="76">
        <v>40000000000</v>
      </c>
      <c r="E68" s="76">
        <v>40000000000</v>
      </c>
      <c r="F68" s="76">
        <f>45263095026.66+61292000+50499998</f>
        <v>45374887024.660004</v>
      </c>
    </row>
    <row r="69" spans="1:6" s="66" customFormat="1">
      <c r="A69" s="23"/>
      <c r="B69" s="34" t="s">
        <v>184</v>
      </c>
      <c r="C69" s="65">
        <f>SUM(C59:C68)</f>
        <v>6016577789</v>
      </c>
      <c r="D69" s="65">
        <f>SUM(D59:D68)</f>
        <v>50783422822.270004</v>
      </c>
      <c r="E69" s="65">
        <f>SUM(E59:E68)</f>
        <v>50783422822.270004</v>
      </c>
      <c r="F69" s="65">
        <f>SUM(F59:F68)</f>
        <v>55908309846.930008</v>
      </c>
    </row>
    <row r="70" spans="1:6" s="66" customFormat="1">
      <c r="A70" s="67"/>
      <c r="B70" s="425"/>
      <c r="C70" s="69"/>
      <c r="D70" s="69"/>
      <c r="E70" s="69"/>
      <c r="F70" s="69"/>
    </row>
    <row r="71" spans="1:6" s="66" customFormat="1">
      <c r="A71" s="70"/>
      <c r="B71" s="426"/>
      <c r="C71" s="72"/>
      <c r="D71" s="72"/>
      <c r="E71" s="72"/>
      <c r="F71" s="72"/>
    </row>
    <row r="72" spans="1:6" s="66" customFormat="1">
      <c r="A72" s="70"/>
      <c r="B72" s="426"/>
      <c r="C72" s="72"/>
      <c r="D72" s="72"/>
      <c r="E72" s="72"/>
      <c r="F72" s="72"/>
    </row>
    <row r="73" spans="1:6" s="66" customFormat="1">
      <c r="A73" s="70"/>
      <c r="B73" s="426"/>
      <c r="C73" s="72"/>
      <c r="D73" s="72"/>
      <c r="E73" s="72"/>
      <c r="F73" s="72"/>
    </row>
    <row r="74" spans="1:6" s="66" customFormat="1">
      <c r="A74" s="70"/>
      <c r="B74" s="427"/>
      <c r="C74" s="336"/>
      <c r="D74" s="72"/>
      <c r="E74" s="72"/>
      <c r="F74" s="72"/>
    </row>
    <row r="75" spans="1:6" s="66" customFormat="1">
      <c r="A75" s="70"/>
      <c r="B75" s="426"/>
      <c r="C75" s="72"/>
      <c r="D75" s="72"/>
      <c r="E75" s="72"/>
      <c r="F75" s="72"/>
    </row>
    <row r="76" spans="1:6" s="66" customFormat="1" ht="18.75">
      <c r="A76" s="533" t="s">
        <v>1693</v>
      </c>
      <c r="B76" s="533"/>
      <c r="C76" s="533"/>
      <c r="D76" s="533"/>
      <c r="E76" s="533"/>
      <c r="F76" s="533"/>
    </row>
    <row r="77" spans="1:6" s="66" customFormat="1">
      <c r="A77" s="70"/>
      <c r="B77" s="426"/>
      <c r="C77" s="72"/>
      <c r="D77" s="72"/>
      <c r="E77" s="72"/>
      <c r="F77" s="72"/>
    </row>
    <row r="78" spans="1:6" s="78" customFormat="1">
      <c r="A78" s="428"/>
      <c r="B78" s="429" t="s">
        <v>23</v>
      </c>
      <c r="C78" s="417"/>
      <c r="D78" s="417"/>
      <c r="E78" s="417"/>
      <c r="F78" s="417"/>
    </row>
    <row r="79" spans="1:6" s="431" customFormat="1" ht="30">
      <c r="A79" s="430"/>
      <c r="B79" s="84" t="s">
        <v>1</v>
      </c>
      <c r="C79" s="246" t="s">
        <v>162</v>
      </c>
      <c r="D79" s="246" t="s">
        <v>166</v>
      </c>
      <c r="E79" s="246" t="s">
        <v>2093</v>
      </c>
      <c r="F79" s="246" t="s">
        <v>2093</v>
      </c>
    </row>
    <row r="80" spans="1:6" s="78" customFormat="1">
      <c r="A80" s="77" t="s">
        <v>6</v>
      </c>
      <c r="B80" s="32" t="s">
        <v>24</v>
      </c>
      <c r="C80" s="76">
        <v>15000000</v>
      </c>
      <c r="D80" s="76">
        <v>15000000</v>
      </c>
      <c r="E80" s="76">
        <v>15000000</v>
      </c>
      <c r="F80" s="76">
        <v>15000000</v>
      </c>
    </row>
    <row r="81" spans="1:6" s="78" customFormat="1">
      <c r="A81" s="77" t="s">
        <v>7</v>
      </c>
      <c r="B81" s="32" t="s">
        <v>25</v>
      </c>
      <c r="C81" s="76">
        <v>15000000</v>
      </c>
      <c r="D81" s="76">
        <v>15000000</v>
      </c>
      <c r="E81" s="76">
        <v>15000000</v>
      </c>
      <c r="F81" s="76">
        <v>100000000</v>
      </c>
    </row>
    <row r="82" spans="1:6" s="78" customFormat="1">
      <c r="A82" s="77" t="s">
        <v>8</v>
      </c>
      <c r="B82" s="32" t="s">
        <v>185</v>
      </c>
      <c r="C82" s="76"/>
      <c r="D82" s="76">
        <v>20000000</v>
      </c>
      <c r="E82" s="76">
        <v>20000000</v>
      </c>
      <c r="F82" s="76">
        <v>20000000</v>
      </c>
    </row>
    <row r="83" spans="1:6" s="78" customFormat="1">
      <c r="A83" s="77" t="s">
        <v>9</v>
      </c>
      <c r="B83" s="32" t="s">
        <v>186</v>
      </c>
      <c r="C83" s="76"/>
      <c r="D83" s="76">
        <v>10500000</v>
      </c>
      <c r="E83" s="76">
        <v>10500000</v>
      </c>
      <c r="F83" s="76">
        <v>10500000</v>
      </c>
    </row>
    <row r="84" spans="1:6" s="78" customFormat="1">
      <c r="A84" s="77" t="s">
        <v>10</v>
      </c>
      <c r="B84" s="32" t="s">
        <v>187</v>
      </c>
      <c r="C84" s="76">
        <v>1800000000</v>
      </c>
      <c r="D84" s="76">
        <v>1800000000</v>
      </c>
      <c r="E84" s="76">
        <v>1800000000</v>
      </c>
      <c r="F84" s="76">
        <v>1800000000</v>
      </c>
    </row>
    <row r="85" spans="1:6" s="78" customFormat="1">
      <c r="A85" s="77" t="s">
        <v>13</v>
      </c>
      <c r="B85" s="32" t="s">
        <v>1084</v>
      </c>
      <c r="C85" s="76"/>
      <c r="D85" s="76">
        <v>2000000000</v>
      </c>
      <c r="E85" s="76">
        <v>2000000000</v>
      </c>
      <c r="F85" s="76">
        <v>2000000000</v>
      </c>
    </row>
    <row r="86" spans="1:6" s="78" customFormat="1">
      <c r="A86" s="77" t="s">
        <v>14</v>
      </c>
      <c r="B86" s="32" t="s">
        <v>188</v>
      </c>
      <c r="C86" s="419">
        <v>131447813.40000001</v>
      </c>
      <c r="D86" s="419">
        <v>323789964.19999999</v>
      </c>
      <c r="E86" s="419">
        <v>323789964.19999999</v>
      </c>
      <c r="F86" s="419">
        <v>323789964.19999999</v>
      </c>
    </row>
    <row r="87" spans="1:6" s="78" customFormat="1">
      <c r="A87" s="77" t="s">
        <v>15</v>
      </c>
      <c r="B87" s="32" t="s">
        <v>1085</v>
      </c>
      <c r="C87" s="419">
        <v>63769454</v>
      </c>
      <c r="D87" s="419">
        <v>42817021</v>
      </c>
      <c r="E87" s="419">
        <v>42817021</v>
      </c>
      <c r="F87" s="419">
        <v>42817021</v>
      </c>
    </row>
    <row r="88" spans="1:6" s="78" customFormat="1">
      <c r="A88" s="77" t="s">
        <v>16</v>
      </c>
      <c r="B88" s="32" t="s">
        <v>189</v>
      </c>
      <c r="C88" s="76">
        <v>54071500</v>
      </c>
      <c r="D88" s="76"/>
      <c r="E88" s="76"/>
      <c r="F88" s="76"/>
    </row>
    <row r="89" spans="1:6" s="78" customFormat="1">
      <c r="A89" s="77" t="s">
        <v>19</v>
      </c>
      <c r="B89" s="32" t="s">
        <v>1086</v>
      </c>
      <c r="C89" s="76"/>
      <c r="D89" s="76">
        <v>54071500</v>
      </c>
      <c r="E89" s="76">
        <v>54071500</v>
      </c>
      <c r="F89" s="76">
        <v>54071500</v>
      </c>
    </row>
    <row r="90" spans="1:6" s="78" customFormat="1">
      <c r="A90" s="77" t="s">
        <v>20</v>
      </c>
      <c r="B90" s="32" t="s">
        <v>2065</v>
      </c>
      <c r="C90" s="76"/>
      <c r="D90" s="76">
        <v>69283180.400000006</v>
      </c>
      <c r="E90" s="76">
        <v>69283180.400000006</v>
      </c>
      <c r="F90" s="76">
        <v>69283180.400000006</v>
      </c>
    </row>
    <row r="91" spans="1:6" s="78" customFormat="1">
      <c r="A91" s="77" t="s">
        <v>17</v>
      </c>
      <c r="B91" s="32" t="s">
        <v>2179</v>
      </c>
      <c r="C91" s="76"/>
      <c r="D91" s="76"/>
      <c r="E91" s="76"/>
      <c r="F91" s="76">
        <v>700000000</v>
      </c>
    </row>
    <row r="92" spans="1:6" s="78" customFormat="1">
      <c r="A92" s="77" t="s">
        <v>18</v>
      </c>
      <c r="B92" s="32" t="s">
        <v>2180</v>
      </c>
      <c r="C92" s="76"/>
      <c r="D92" s="76"/>
      <c r="E92" s="76"/>
      <c r="F92" s="76">
        <v>2000000000</v>
      </c>
    </row>
    <row r="93" spans="1:6" s="66" customFormat="1">
      <c r="A93" s="23"/>
      <c r="B93" s="34" t="s">
        <v>190</v>
      </c>
      <c r="C93" s="65">
        <f>SUM(C80:C90)</f>
        <v>2079288767.4000001</v>
      </c>
      <c r="D93" s="65">
        <f>SUM(D80:D90)</f>
        <v>4350461665.5999994</v>
      </c>
      <c r="E93" s="65">
        <f>SUM(E80:E90)</f>
        <v>4350461665.5999994</v>
      </c>
      <c r="F93" s="65">
        <f>SUM(F80:F92)</f>
        <v>7135461665.5999994</v>
      </c>
    </row>
    <row r="94" spans="1:6" s="66" customFormat="1">
      <c r="A94" s="67"/>
      <c r="B94" s="425"/>
      <c r="C94" s="69"/>
      <c r="D94" s="69"/>
      <c r="E94" s="69"/>
      <c r="F94" s="69"/>
    </row>
    <row r="95" spans="1:6" s="66" customFormat="1">
      <c r="A95" s="70"/>
      <c r="B95" s="426"/>
      <c r="C95" s="72"/>
      <c r="D95" s="72"/>
      <c r="E95" s="72"/>
      <c r="F95" s="72"/>
    </row>
    <row r="96" spans="1:6" s="66" customFormat="1">
      <c r="A96" s="70"/>
      <c r="B96" s="426"/>
      <c r="C96" s="72"/>
      <c r="D96" s="72"/>
      <c r="E96" s="72"/>
      <c r="F96" s="72"/>
    </row>
    <row r="97" spans="1:6" s="66" customFormat="1">
      <c r="A97" s="70"/>
      <c r="B97" s="426"/>
      <c r="C97" s="72"/>
      <c r="D97" s="72"/>
      <c r="E97" s="72"/>
      <c r="F97" s="72"/>
    </row>
    <row r="98" spans="1:6" s="66" customFormat="1">
      <c r="A98" s="70"/>
      <c r="B98" s="426"/>
      <c r="C98" s="72"/>
      <c r="D98" s="72"/>
      <c r="E98" s="72"/>
      <c r="F98" s="72"/>
    </row>
    <row r="99" spans="1:6" s="66" customFormat="1">
      <c r="A99" s="70"/>
      <c r="B99" s="426"/>
      <c r="C99" s="72"/>
      <c r="D99" s="72"/>
      <c r="E99" s="72"/>
      <c r="F99" s="72"/>
    </row>
    <row r="100" spans="1:6" s="66" customFormat="1">
      <c r="A100" s="70"/>
      <c r="B100" s="426"/>
      <c r="C100" s="72"/>
      <c r="D100" s="72"/>
      <c r="E100" s="72"/>
      <c r="F100" s="72"/>
    </row>
    <row r="101" spans="1:6" s="66" customFormat="1">
      <c r="A101" s="70"/>
      <c r="B101" s="426"/>
      <c r="C101" s="72"/>
      <c r="D101" s="72"/>
      <c r="E101" s="72"/>
      <c r="F101" s="72"/>
    </row>
    <row r="102" spans="1:6" s="66" customFormat="1">
      <c r="A102" s="70"/>
      <c r="B102" s="426"/>
      <c r="C102" s="72"/>
      <c r="D102" s="72"/>
      <c r="E102" s="72"/>
      <c r="F102" s="72"/>
    </row>
    <row r="103" spans="1:6" s="66" customFormat="1" ht="18.75">
      <c r="A103" s="533" t="s">
        <v>1693</v>
      </c>
      <c r="B103" s="533"/>
      <c r="C103" s="533"/>
      <c r="D103" s="533"/>
      <c r="E103" s="533"/>
      <c r="F103" s="533"/>
    </row>
    <row r="104" spans="1:6" s="66" customFormat="1">
      <c r="A104" s="70"/>
      <c r="B104" s="426"/>
      <c r="C104" s="72"/>
      <c r="D104" s="72"/>
      <c r="E104" s="72"/>
      <c r="F104" s="72"/>
    </row>
    <row r="105" spans="1:6" s="78" customFormat="1">
      <c r="A105" s="428"/>
      <c r="B105" s="429" t="s">
        <v>27</v>
      </c>
      <c r="C105" s="417"/>
      <c r="D105" s="417"/>
      <c r="E105" s="417"/>
      <c r="F105" s="417"/>
    </row>
    <row r="106" spans="1:6" s="431" customFormat="1" ht="30">
      <c r="A106" s="430"/>
      <c r="B106" s="84" t="s">
        <v>1</v>
      </c>
      <c r="C106" s="246" t="s">
        <v>162</v>
      </c>
      <c r="D106" s="246" t="s">
        <v>166</v>
      </c>
      <c r="E106" s="246" t="s">
        <v>2093</v>
      </c>
      <c r="F106" s="246" t="s">
        <v>2093</v>
      </c>
    </row>
    <row r="107" spans="1:6" s="78" customFormat="1">
      <c r="A107" s="77" t="s">
        <v>6</v>
      </c>
      <c r="B107" s="32" t="s">
        <v>191</v>
      </c>
      <c r="C107" s="76">
        <v>161000000</v>
      </c>
      <c r="D107" s="76">
        <v>60000000</v>
      </c>
      <c r="E107" s="76">
        <v>60000000</v>
      </c>
      <c r="F107" s="76">
        <v>60000000</v>
      </c>
    </row>
    <row r="108" spans="1:6" s="78" customFormat="1">
      <c r="A108" s="77" t="s">
        <v>7</v>
      </c>
      <c r="B108" s="32" t="s">
        <v>1087</v>
      </c>
      <c r="C108" s="76"/>
      <c r="D108" s="76">
        <v>11500000</v>
      </c>
      <c r="E108" s="76">
        <v>11500000</v>
      </c>
      <c r="F108" s="76">
        <v>11500000</v>
      </c>
    </row>
    <row r="109" spans="1:6" s="78" customFormat="1">
      <c r="A109" s="77" t="s">
        <v>8</v>
      </c>
      <c r="B109" s="32" t="s">
        <v>689</v>
      </c>
      <c r="C109" s="76"/>
      <c r="D109" s="76">
        <v>438376878.38</v>
      </c>
      <c r="E109" s="76">
        <v>438376878.38</v>
      </c>
      <c r="F109" s="76">
        <v>438376878.38</v>
      </c>
    </row>
    <row r="110" spans="1:6" s="78" customFormat="1">
      <c r="A110" s="77" t="s">
        <v>9</v>
      </c>
      <c r="B110" s="32" t="s">
        <v>691</v>
      </c>
      <c r="C110" s="76">
        <v>2937999835.9200001</v>
      </c>
      <c r="D110" s="76">
        <v>521013513.50999999</v>
      </c>
      <c r="E110" s="76">
        <v>521013513.50999999</v>
      </c>
      <c r="F110" s="76">
        <v>521013513.50999999</v>
      </c>
    </row>
    <row r="111" spans="1:6" s="78" customFormat="1">
      <c r="A111" s="77" t="s">
        <v>10</v>
      </c>
      <c r="B111" s="32" t="s">
        <v>1088</v>
      </c>
      <c r="C111" s="76"/>
      <c r="D111" s="76">
        <v>494962837.84500003</v>
      </c>
      <c r="E111" s="76">
        <v>494962837.84500003</v>
      </c>
      <c r="F111" s="76">
        <v>494962837.84500003</v>
      </c>
    </row>
    <row r="112" spans="1:6" s="78" customFormat="1">
      <c r="A112" s="77" t="s">
        <v>13</v>
      </c>
      <c r="B112" s="32" t="s">
        <v>1089</v>
      </c>
      <c r="C112" s="76">
        <v>750000000</v>
      </c>
      <c r="D112" s="76">
        <v>0</v>
      </c>
      <c r="E112" s="76">
        <v>0</v>
      </c>
      <c r="F112" s="76">
        <v>0</v>
      </c>
    </row>
    <row r="113" spans="1:6" s="78" customFormat="1">
      <c r="A113" s="77" t="s">
        <v>14</v>
      </c>
      <c r="B113" s="32" t="s">
        <v>1090</v>
      </c>
      <c r="C113" s="76">
        <v>68889138.989999995</v>
      </c>
      <c r="D113" s="76">
        <v>31725692.225000001</v>
      </c>
      <c r="E113" s="76">
        <v>31725692.225000001</v>
      </c>
      <c r="F113" s="76">
        <v>31725692.225000001</v>
      </c>
    </row>
    <row r="114" spans="1:6" s="78" customFormat="1">
      <c r="A114" s="77" t="s">
        <v>15</v>
      </c>
      <c r="B114" s="32" t="s">
        <v>693</v>
      </c>
      <c r="C114" s="76">
        <v>850104168.64999998</v>
      </c>
      <c r="D114" s="76">
        <v>251900000</v>
      </c>
      <c r="E114" s="76">
        <v>251900000</v>
      </c>
      <c r="F114" s="76">
        <v>251900000</v>
      </c>
    </row>
    <row r="115" spans="1:6" s="78" customFormat="1">
      <c r="A115" s="77" t="s">
        <v>16</v>
      </c>
      <c r="B115" s="32" t="s">
        <v>693</v>
      </c>
      <c r="C115" s="76">
        <v>492505333.52999997</v>
      </c>
      <c r="D115" s="76">
        <v>90286652.790000007</v>
      </c>
      <c r="E115" s="76">
        <v>90286652.790000007</v>
      </c>
      <c r="F115" s="76">
        <v>90286652.790000007</v>
      </c>
    </row>
    <row r="116" spans="1:6" s="78" customFormat="1">
      <c r="A116" s="77" t="s">
        <v>19</v>
      </c>
      <c r="B116" s="32" t="s">
        <v>40</v>
      </c>
      <c r="C116" s="76">
        <v>1500000000</v>
      </c>
      <c r="D116" s="76">
        <v>0</v>
      </c>
      <c r="E116" s="76">
        <v>0</v>
      </c>
      <c r="F116" s="76">
        <v>0</v>
      </c>
    </row>
    <row r="117" spans="1:6" s="78" customFormat="1">
      <c r="A117" s="77" t="s">
        <v>20</v>
      </c>
      <c r="B117" s="32" t="s">
        <v>192</v>
      </c>
      <c r="C117" s="76">
        <v>1350492887.0799999</v>
      </c>
      <c r="D117" s="76">
        <v>0</v>
      </c>
      <c r="E117" s="76">
        <v>0</v>
      </c>
      <c r="F117" s="76">
        <v>0</v>
      </c>
    </row>
    <row r="118" spans="1:6" s="78" customFormat="1">
      <c r="A118" s="77" t="s">
        <v>17</v>
      </c>
      <c r="B118" s="32" t="s">
        <v>41</v>
      </c>
      <c r="C118" s="76">
        <v>661000000</v>
      </c>
      <c r="D118" s="76">
        <v>251000000</v>
      </c>
      <c r="E118" s="76">
        <v>251000000</v>
      </c>
      <c r="F118" s="76">
        <v>251000000</v>
      </c>
    </row>
    <row r="119" spans="1:6" s="78" customFormat="1">
      <c r="A119" s="77" t="s">
        <v>18</v>
      </c>
      <c r="B119" s="32" t="s">
        <v>35</v>
      </c>
      <c r="C119" s="420">
        <v>240000000</v>
      </c>
      <c r="D119" s="420">
        <v>0</v>
      </c>
      <c r="E119" s="420">
        <v>0</v>
      </c>
      <c r="F119" s="420">
        <v>0</v>
      </c>
    </row>
    <row r="120" spans="1:6" s="78" customFormat="1">
      <c r="A120" s="77" t="s">
        <v>28</v>
      </c>
      <c r="B120" s="32" t="s">
        <v>36</v>
      </c>
      <c r="C120" s="76">
        <v>3072659149</v>
      </c>
      <c r="D120" s="76">
        <v>2112772890.605</v>
      </c>
      <c r="E120" s="76">
        <v>2112772890.605</v>
      </c>
      <c r="F120" s="76">
        <v>2112772890.605</v>
      </c>
    </row>
    <row r="121" spans="1:6" s="78" customFormat="1">
      <c r="A121" s="77" t="s">
        <v>29</v>
      </c>
      <c r="B121" s="32" t="s">
        <v>37</v>
      </c>
      <c r="C121" s="76">
        <v>407038817</v>
      </c>
      <c r="D121" s="76">
        <v>117913819.56999999</v>
      </c>
      <c r="E121" s="76">
        <v>117913819.56999999</v>
      </c>
      <c r="F121" s="76">
        <v>117913819.56999999</v>
      </c>
    </row>
    <row r="122" spans="1:6" s="78" customFormat="1">
      <c r="A122" s="77" t="s">
        <v>30</v>
      </c>
      <c r="B122" s="32" t="s">
        <v>694</v>
      </c>
      <c r="C122" s="76">
        <v>624339687</v>
      </c>
      <c r="D122" s="76">
        <v>237814597.22</v>
      </c>
      <c r="E122" s="76">
        <v>237814597.22</v>
      </c>
      <c r="F122" s="76">
        <v>237814597.22</v>
      </c>
    </row>
    <row r="123" spans="1:6" s="78" customFormat="1">
      <c r="A123" s="77" t="s">
        <v>31</v>
      </c>
      <c r="B123" s="32" t="s">
        <v>1085</v>
      </c>
      <c r="C123" s="76">
        <v>63769454</v>
      </c>
      <c r="D123" s="76">
        <v>42817021</v>
      </c>
      <c r="E123" s="76">
        <v>42817021</v>
      </c>
      <c r="F123" s="76">
        <v>42817021</v>
      </c>
    </row>
    <row r="124" spans="1:6" s="78" customFormat="1">
      <c r="A124" s="77" t="s">
        <v>32</v>
      </c>
      <c r="B124" s="32" t="s">
        <v>71</v>
      </c>
      <c r="C124" s="76">
        <v>600000000</v>
      </c>
      <c r="D124" s="76">
        <v>0</v>
      </c>
      <c r="E124" s="76">
        <v>0</v>
      </c>
      <c r="F124" s="76">
        <v>0</v>
      </c>
    </row>
    <row r="125" spans="1:6" s="78" customFormat="1">
      <c r="A125" s="77" t="s">
        <v>33</v>
      </c>
      <c r="B125" s="32" t="s">
        <v>2067</v>
      </c>
      <c r="C125" s="76"/>
      <c r="D125" s="76">
        <v>15000000</v>
      </c>
      <c r="E125" s="76">
        <v>15000000</v>
      </c>
      <c r="F125" s="76">
        <v>1500000000</v>
      </c>
    </row>
    <row r="126" spans="1:6" s="78" customFormat="1" ht="45">
      <c r="A126" s="77" t="s">
        <v>34</v>
      </c>
      <c r="B126" s="332" t="s">
        <v>2066</v>
      </c>
      <c r="C126" s="76"/>
      <c r="D126" s="76">
        <v>4962314610</v>
      </c>
      <c r="E126" s="76">
        <v>4962314610</v>
      </c>
      <c r="F126" s="76">
        <v>14742000000</v>
      </c>
    </row>
    <row r="127" spans="1:6" s="78" customFormat="1">
      <c r="A127" s="77" t="s">
        <v>2644</v>
      </c>
      <c r="B127" s="332" t="s">
        <v>2189</v>
      </c>
      <c r="C127" s="76"/>
      <c r="D127" s="76"/>
      <c r="E127" s="76"/>
      <c r="F127" s="76">
        <v>14400000000</v>
      </c>
    </row>
    <row r="128" spans="1:6" s="78" customFormat="1">
      <c r="A128" s="77" t="s">
        <v>2645</v>
      </c>
      <c r="B128" s="332" t="s">
        <v>2646</v>
      </c>
      <c r="C128" s="76"/>
      <c r="D128" s="76"/>
      <c r="E128" s="76"/>
      <c r="F128" s="76">
        <v>4800000</v>
      </c>
    </row>
    <row r="129" spans="1:6" s="66" customFormat="1">
      <c r="A129" s="23"/>
      <c r="B129" s="34" t="s">
        <v>193</v>
      </c>
      <c r="C129" s="65">
        <f>SUM(C107:C126)</f>
        <v>13779798471.169998</v>
      </c>
      <c r="D129" s="65">
        <f>SUM(D107:D126)</f>
        <v>9639398513.1450005</v>
      </c>
      <c r="E129" s="65">
        <f>SUM(E107:E126)</f>
        <v>9639398513.1450005</v>
      </c>
      <c r="F129" s="65">
        <f>SUM(F107:F128)</f>
        <v>35308883903.145004</v>
      </c>
    </row>
    <row r="130" spans="1:6" s="66" customFormat="1">
      <c r="A130" s="70"/>
      <c r="B130" s="426"/>
      <c r="C130" s="421"/>
      <c r="D130" s="421"/>
      <c r="E130" s="421"/>
      <c r="F130" s="421"/>
    </row>
    <row r="131" spans="1:6" s="66" customFormat="1">
      <c r="A131" s="70"/>
      <c r="B131" s="426"/>
      <c r="C131" s="421"/>
      <c r="D131" s="421"/>
      <c r="E131" s="421"/>
      <c r="F131" s="421"/>
    </row>
    <row r="132" spans="1:6" s="66" customFormat="1">
      <c r="A132" s="70"/>
      <c r="B132" s="426"/>
      <c r="C132" s="421"/>
      <c r="D132" s="421"/>
      <c r="E132" s="421"/>
      <c r="F132" s="421"/>
    </row>
    <row r="133" spans="1:6" s="78" customFormat="1" ht="18.75">
      <c r="A133" s="533" t="s">
        <v>1693</v>
      </c>
      <c r="B133" s="533"/>
      <c r="C133" s="533"/>
      <c r="D133" s="533"/>
      <c r="E133" s="533"/>
      <c r="F133" s="533"/>
    </row>
    <row r="134" spans="1:6" s="78" customFormat="1">
      <c r="A134" s="229"/>
      <c r="B134" s="228"/>
      <c r="C134" s="422"/>
      <c r="D134" s="422"/>
      <c r="E134" s="422"/>
      <c r="F134" s="422"/>
    </row>
    <row r="135" spans="1:6" s="78" customFormat="1">
      <c r="A135" s="432"/>
      <c r="B135" s="433" t="s">
        <v>194</v>
      </c>
      <c r="C135" s="423"/>
      <c r="D135" s="423"/>
      <c r="E135" s="423"/>
      <c r="F135" s="423"/>
    </row>
    <row r="136" spans="1:6" s="431" customFormat="1" ht="30">
      <c r="A136" s="430"/>
      <c r="B136" s="84" t="s">
        <v>1</v>
      </c>
      <c r="C136" s="246" t="s">
        <v>162</v>
      </c>
      <c r="D136" s="246" t="s">
        <v>166</v>
      </c>
      <c r="E136" s="246" t="s">
        <v>2093</v>
      </c>
      <c r="F136" s="246" t="s">
        <v>2093</v>
      </c>
    </row>
    <row r="137" spans="1:6" s="78" customFormat="1">
      <c r="A137" s="77" t="s">
        <v>6</v>
      </c>
      <c r="B137" s="32" t="s">
        <v>195</v>
      </c>
      <c r="C137" s="76">
        <v>100000000</v>
      </c>
      <c r="D137" s="76">
        <v>131434125</v>
      </c>
      <c r="E137" s="76">
        <v>131434125</v>
      </c>
      <c r="F137" s="76">
        <v>0</v>
      </c>
    </row>
    <row r="138" spans="1:6" s="78" customFormat="1">
      <c r="A138" s="77" t="s">
        <v>7</v>
      </c>
      <c r="B138" s="32" t="s">
        <v>72</v>
      </c>
      <c r="C138" s="76">
        <v>1000000000</v>
      </c>
      <c r="D138" s="76">
        <v>1300030000</v>
      </c>
      <c r="E138" s="76">
        <v>1300030000</v>
      </c>
      <c r="F138" s="76">
        <v>0</v>
      </c>
    </row>
    <row r="139" spans="1:6" s="66" customFormat="1">
      <c r="A139" s="23"/>
      <c r="B139" s="30"/>
      <c r="C139" s="65">
        <f>SUM(C137:C138)</f>
        <v>1100000000</v>
      </c>
      <c r="D139" s="65">
        <f>SUM(D137:D138)</f>
        <v>1431464125</v>
      </c>
      <c r="E139" s="65">
        <f>SUM(E137:E138)</f>
        <v>1431464125</v>
      </c>
      <c r="F139" s="65">
        <f>SUM(F137:F138)</f>
        <v>0</v>
      </c>
    </row>
    <row r="140" spans="1:6" s="66" customFormat="1">
      <c r="A140" s="70"/>
      <c r="B140" s="263"/>
      <c r="C140" s="72"/>
      <c r="D140" s="72"/>
      <c r="E140" s="72"/>
      <c r="F140" s="72"/>
    </row>
    <row r="141" spans="1:6" s="66" customFormat="1">
      <c r="A141" s="70"/>
      <c r="B141" s="263"/>
      <c r="C141" s="72"/>
      <c r="D141" s="72"/>
      <c r="E141" s="72"/>
      <c r="F141" s="72"/>
    </row>
    <row r="142" spans="1:6" s="66" customFormat="1">
      <c r="A142" s="70"/>
      <c r="B142" s="263"/>
      <c r="C142" s="72"/>
      <c r="D142" s="72"/>
      <c r="E142" s="72"/>
      <c r="F142" s="72"/>
    </row>
    <row r="143" spans="1:6" s="78" customFormat="1"/>
    <row r="144" spans="1:6" s="78" customFormat="1">
      <c r="A144" s="32"/>
      <c r="B144" s="34" t="s">
        <v>165</v>
      </c>
      <c r="C144" s="424">
        <f>C139+C129+C93+C69+C51+C37+C26</f>
        <v>108272676649.57001</v>
      </c>
      <c r="D144" s="424">
        <f>D139+D129+D93+D69+D51+D37+D26</f>
        <v>103405059161.25932</v>
      </c>
      <c r="E144" s="424">
        <f>E139+E129+E93+E69+E51+E37+E26</f>
        <v>93757137385.714996</v>
      </c>
      <c r="F144" s="424">
        <f>F139+F129+F93+F69+F51+F37+F26</f>
        <v>129460060052.28001</v>
      </c>
    </row>
    <row r="145" spans="6:6" s="78" customFormat="1">
      <c r="F145" s="220"/>
    </row>
    <row r="146" spans="6:6">
      <c r="F146" s="220"/>
    </row>
  </sheetData>
  <mergeCells count="8">
    <mergeCell ref="A103:F103"/>
    <mergeCell ref="A133:F133"/>
    <mergeCell ref="A1:F1"/>
    <mergeCell ref="A21:F21"/>
    <mergeCell ref="A32:F32"/>
    <mergeCell ref="A43:F43"/>
    <mergeCell ref="A55:F55"/>
    <mergeCell ref="A76:F76"/>
  </mergeCells>
  <printOptions horizontalCentered="1"/>
  <pageMargins left="0.59055118110236227" right="0.35433070866141736" top="0.47244094488188981" bottom="0.59055118110236227" header="0.31496062992125984" footer="0.31496062992125984"/>
  <pageSetup paperSize="9" orientation="landscape" r:id="rId1"/>
  <headerFooter>
    <oddFooter>&amp;C&amp;P</oddFooter>
  </headerFooter>
  <rowBreaks count="7" manualBreakCount="7">
    <brk id="20" max="16383" man="1"/>
    <brk id="31" max="16383" man="1"/>
    <brk id="42" max="16383" man="1"/>
    <brk id="54" max="16383" man="1"/>
    <brk id="75" max="16383" man="1"/>
    <brk id="102" max="16383" man="1"/>
    <brk id="1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1. GEN SUMMARY</vt:lpstr>
      <vt:lpstr>2. RECIEPTS SUMM</vt:lpstr>
      <vt:lpstr>3. ACCOUNTS SUMM</vt:lpstr>
      <vt:lpstr>4. FIN. STATEMENT SUMM</vt:lpstr>
      <vt:lpstr>SUMMARY OF IGR</vt:lpstr>
      <vt:lpstr>BREAKDOWN OF IGR</vt:lpstr>
      <vt:lpstr>SUMMARY</vt:lpstr>
      <vt:lpstr>BREAKDOWN</vt:lpstr>
      <vt:lpstr>CAPITAL RECEIPTS</vt:lpstr>
      <vt:lpstr>CAPITAL ESTIMATES</vt:lpstr>
      <vt:lpstr>BREAKDOWN!Print_Area</vt:lpstr>
      <vt:lpstr>'2. RECIEPTS SUMM'!Print_Titles</vt:lpstr>
      <vt:lpstr>'3. ACCOUNTS SUMM'!Print_Titles</vt:lpstr>
      <vt:lpstr>BREAKDOWN!Print_Titles</vt:lpstr>
      <vt:lpstr>'BREAKDOWN OF IGR'!Print_Titles</vt:lpstr>
      <vt:lpstr>'CAPITAL ESTIMATES'!Print_Titles</vt:lpstr>
      <vt:lpstr>SUMMARY!Print_Titles</vt:lpstr>
      <vt:lpstr>'SUMMARY OF IGR'!Print_Titles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HDPO</dc:creator>
  <cp:lastModifiedBy>ALHERI</cp:lastModifiedBy>
  <cp:lastPrinted>2016-11-25T14:32:00Z</cp:lastPrinted>
  <dcterms:created xsi:type="dcterms:W3CDTF">2015-11-09T17:39:58Z</dcterms:created>
  <dcterms:modified xsi:type="dcterms:W3CDTF">2016-12-22T17:36:57Z</dcterms:modified>
</cp:coreProperties>
</file>